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108" windowWidth="13332" windowHeight="13464"/>
  </bookViews>
  <sheets>
    <sheet name="costi fotovoltaico" sheetId="1" r:id="rId1"/>
    <sheet name="consumo elettrico" sheetId="2" r:id="rId2"/>
    <sheet name="Foglio1 (2)" sheetId="4" r:id="rId3"/>
    <sheet name="Foglio3" sheetId="3" r:id="rId4"/>
    <sheet name="costi fotovoltaico (2)" sheetId="5" r:id="rId5"/>
  </sheets>
  <calcPr calcId="125725"/>
</workbook>
</file>

<file path=xl/calcChain.xml><?xml version="1.0" encoding="utf-8"?>
<calcChain xmlns="http://schemas.openxmlformats.org/spreadsheetml/2006/main">
  <c r="F11" i="2"/>
  <c r="F13"/>
  <c r="H13" s="1"/>
  <c r="F12"/>
  <c r="F10"/>
  <c r="F9"/>
  <c r="H9" s="1"/>
  <c r="F8"/>
  <c r="H8" s="1"/>
  <c r="B16" i="1"/>
  <c r="B33"/>
  <c r="B31"/>
  <c r="K4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B22"/>
  <c r="B24" s="1"/>
  <c r="B5"/>
  <c r="B6" s="1"/>
  <c r="G6" s="1"/>
  <c r="G43" i="5"/>
  <c r="G44" s="1"/>
  <c r="B43"/>
  <c r="B42"/>
  <c r="G38" s="1"/>
  <c r="G41"/>
  <c r="B41"/>
  <c r="B40"/>
  <c r="G37"/>
  <c r="G49" s="1"/>
  <c r="G26"/>
  <c r="G27" s="1"/>
  <c r="B26"/>
  <c r="B25"/>
  <c r="G23" s="1"/>
  <c r="G33" s="1"/>
  <c r="G24"/>
  <c r="B24"/>
  <c r="B23"/>
  <c r="G21"/>
  <c r="G20"/>
  <c r="G32" s="1"/>
  <c r="B15"/>
  <c r="B5"/>
  <c r="B6" s="1"/>
  <c r="F20" i="2"/>
  <c r="F21"/>
  <c r="J18"/>
  <c r="J22" s="1"/>
  <c r="I19"/>
  <c r="J19" s="1"/>
  <c r="I20"/>
  <c r="J20" s="1"/>
  <c r="I21"/>
  <c r="J21" s="1"/>
  <c r="I18"/>
  <c r="F19"/>
  <c r="F18"/>
  <c r="D19"/>
  <c r="D20"/>
  <c r="D21"/>
  <c r="D18"/>
  <c r="F5"/>
  <c r="H5" s="1"/>
  <c r="F3"/>
  <c r="H3" s="1"/>
  <c r="F4"/>
  <c r="H4" s="1"/>
  <c r="F2"/>
  <c r="H11"/>
  <c r="F7"/>
  <c r="H7" s="1"/>
  <c r="H10"/>
  <c r="H12"/>
  <c r="H2"/>
  <c r="F6"/>
  <c r="H6" s="1"/>
  <c r="B38" i="4"/>
  <c r="B34"/>
  <c r="D24"/>
  <c r="B25" s="1"/>
  <c r="B20"/>
  <c r="B17"/>
  <c r="B16"/>
  <c r="B30" s="1"/>
  <c r="B7"/>
  <c r="B6"/>
  <c r="B8" s="1"/>
  <c r="G19" i="1" l="1"/>
  <c r="G31" s="1"/>
  <c r="B23"/>
  <c r="B25" s="1"/>
  <c r="B8" i="5"/>
  <c r="G6"/>
  <c r="G45"/>
  <c r="G48" s="1"/>
  <c r="G51" s="1"/>
  <c r="B50" s="1"/>
  <c r="B51" s="1"/>
  <c r="G50"/>
  <c r="G28"/>
  <c r="G31" s="1"/>
  <c r="G34" s="1"/>
  <c r="B33" s="1"/>
  <c r="B34" s="1"/>
  <c r="B7"/>
  <c r="G40"/>
  <c r="G2"/>
  <c r="G14" s="1"/>
  <c r="G20" i="1"/>
  <c r="Q24" s="1"/>
  <c r="B7"/>
  <c r="G2"/>
  <c r="G14" s="1"/>
  <c r="F22" i="2"/>
  <c r="B23" s="1"/>
  <c r="H14"/>
  <c r="H15" s="1"/>
  <c r="B26" i="4"/>
  <c r="B29" s="1"/>
  <c r="B32" s="1"/>
  <c r="B35" s="1"/>
  <c r="B21"/>
  <c r="B31" s="1"/>
  <c r="B25" i="2" l="1"/>
  <c r="Q16" i="1"/>
  <c r="Q20"/>
  <c r="Q28"/>
  <c r="Q32"/>
  <c r="Q15"/>
  <c r="Q19"/>
  <c r="Q23"/>
  <c r="Q27"/>
  <c r="Q31"/>
  <c r="Q5"/>
  <c r="Q6"/>
  <c r="Q10"/>
  <c r="Q9"/>
  <c r="Q11"/>
  <c r="Q7"/>
  <c r="Q14"/>
  <c r="Q18"/>
  <c r="Q22"/>
  <c r="Q26"/>
  <c r="Q30"/>
  <c r="Q13"/>
  <c r="Q17"/>
  <c r="Q21"/>
  <c r="Q25"/>
  <c r="Q29"/>
  <c r="Q33"/>
  <c r="Q8"/>
  <c r="Q12"/>
  <c r="Q4"/>
  <c r="G5"/>
  <c r="G15" s="1"/>
  <c r="B8"/>
  <c r="G23"/>
  <c r="G5" i="5"/>
  <c r="G10" s="1"/>
  <c r="G13" s="1"/>
  <c r="G8"/>
  <c r="G9" s="1"/>
  <c r="G3"/>
  <c r="G25" i="1"/>
  <c r="G26" s="1"/>
  <c r="G22"/>
  <c r="G8"/>
  <c r="G9" s="1"/>
  <c r="G10" s="1"/>
  <c r="G3"/>
  <c r="M9" l="1"/>
  <c r="M13"/>
  <c r="M17"/>
  <c r="M25"/>
  <c r="M29"/>
  <c r="M8"/>
  <c r="M12"/>
  <c r="M16"/>
  <c r="M20"/>
  <c r="M24"/>
  <c r="M28"/>
  <c r="M32"/>
  <c r="M5"/>
  <c r="M7"/>
  <c r="M11"/>
  <c r="M15"/>
  <c r="M19"/>
  <c r="M23"/>
  <c r="M27"/>
  <c r="M31"/>
  <c r="M4"/>
  <c r="M6"/>
  <c r="M10"/>
  <c r="M14"/>
  <c r="M18"/>
  <c r="M22"/>
  <c r="M26"/>
  <c r="M30"/>
  <c r="M21"/>
  <c r="M33"/>
  <c r="G32"/>
  <c r="G16" i="5"/>
  <c r="B16" s="1"/>
  <c r="G15"/>
  <c r="G27" i="1"/>
  <c r="G30" s="1"/>
  <c r="G13"/>
  <c r="G33" l="1"/>
  <c r="G16"/>
  <c r="B32" l="1"/>
  <c r="R7"/>
  <c r="R11"/>
  <c r="R4"/>
  <c r="R6"/>
  <c r="R10"/>
  <c r="R14"/>
  <c r="R18"/>
  <c r="R22"/>
  <c r="R26"/>
  <c r="R30"/>
  <c r="R5"/>
  <c r="R17"/>
  <c r="R25"/>
  <c r="R29"/>
  <c r="R31"/>
  <c r="R23"/>
  <c r="R9"/>
  <c r="R13"/>
  <c r="R21"/>
  <c r="R33"/>
  <c r="R19"/>
  <c r="R27"/>
  <c r="R8"/>
  <c r="R12"/>
  <c r="R16"/>
  <c r="R20"/>
  <c r="R24"/>
  <c r="R28"/>
  <c r="R32"/>
  <c r="R15"/>
  <c r="S4"/>
  <c r="S5" s="1"/>
  <c r="S6" s="1"/>
  <c r="S7" s="1"/>
  <c r="S8" s="1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B15"/>
  <c r="N4"/>
  <c r="O4" s="1"/>
  <c r="N7"/>
  <c r="N11"/>
  <c r="N15"/>
  <c r="N19"/>
  <c r="N23"/>
  <c r="N27"/>
  <c r="N31"/>
  <c r="N6"/>
  <c r="N14"/>
  <c r="N22"/>
  <c r="N30"/>
  <c r="N20"/>
  <c r="N32"/>
  <c r="N12"/>
  <c r="N24"/>
  <c r="N5"/>
  <c r="N10"/>
  <c r="N18"/>
  <c r="N26"/>
  <c r="N8"/>
  <c r="N9"/>
  <c r="N13"/>
  <c r="N17"/>
  <c r="N21"/>
  <c r="N25"/>
  <c r="N29"/>
  <c r="N33"/>
  <c r="N16"/>
  <c r="N28"/>
  <c r="O5" l="1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</calcChain>
</file>

<file path=xl/sharedStrings.xml><?xml version="1.0" encoding="utf-8"?>
<sst xmlns="http://schemas.openxmlformats.org/spreadsheetml/2006/main" count="404" uniqueCount="132">
  <si>
    <t>kWh</t>
  </si>
  <si>
    <t>Energia prodotta dall’impianto fotovoltaico</t>
  </si>
  <si>
    <t>Energia auto consumata</t>
  </si>
  <si>
    <t>Energia venduta e quindi immessa in rete</t>
  </si>
  <si>
    <t>Energia prelevata dalla rete</t>
  </si>
  <si>
    <t>Differenza tra energia immessa e consumata</t>
  </si>
  <si>
    <t>Euro/kWh</t>
  </si>
  <si>
    <t>costo medio della corrente pari a</t>
  </si>
  <si>
    <t>Risparmio in bolletta</t>
  </si>
  <si>
    <t>Costo energia prelevata dalla rete</t>
  </si>
  <si>
    <t>CON FOTOVOLTAICO</t>
  </si>
  <si>
    <t>SENZA FOTOVOLTAICO</t>
  </si>
  <si>
    <t>€</t>
  </si>
  <si>
    <t>prezzo unico nazionale energia elettrica</t>
  </si>
  <si>
    <t>prezzo energia nella zona di riferimento</t>
  </si>
  <si>
    <t>in Italia ci sono 6 zone</t>
  </si>
  <si>
    <t>Valore energia prelevata</t>
  </si>
  <si>
    <t>Valore energia immessa in rete</t>
  </si>
  <si>
    <t>Per il calcolo del contributo in conto scambio dovremo prendere il valore minimo tra l’energia prelevata e quella immessa:</t>
  </si>
  <si>
    <t>valore medio del contributo dello scambio sul posto fissato da Autorità per Energia</t>
  </si>
  <si>
    <t>Il GSE rimborsa l’energia che si cede al valore stabilito dall' Autorità dell' Energia.</t>
  </si>
  <si>
    <t>Si deve prendere il valore minimo tra prelievi ed immissioni</t>
  </si>
  <si>
    <t>Valore energia riconosciuto dal GSE</t>
  </si>
  <si>
    <t>Contributo tot. scambio sul posto del GSE</t>
  </si>
  <si>
    <t>Complessivamente</t>
  </si>
  <si>
    <t>Credito per immissione in + rispetto consumo</t>
  </si>
  <si>
    <t>Fabbisogno energetico annuo</t>
  </si>
  <si>
    <t>Risparmio in bolletta (autoconsumo)</t>
  </si>
  <si>
    <t>cifra che copre il costo</t>
  </si>
  <si>
    <t>dell'energia prelevata dalla rete</t>
  </si>
  <si>
    <t>Euro/kWh  media nazionale</t>
  </si>
  <si>
    <t>€ ( credito di 8 € nei confronti del GSE)</t>
  </si>
  <si>
    <t>COSTO FOTOVOLTAICO</t>
  </si>
  <si>
    <t>Costo impianto da 3Kwp</t>
  </si>
  <si>
    <t>Costo impianto con detrazione 50%</t>
  </si>
  <si>
    <t>Tempo rientro investimento</t>
  </si>
  <si>
    <t>anni</t>
  </si>
  <si>
    <t xml:space="preserve">Contributo tot. scambio sul posto </t>
  </si>
  <si>
    <t>Credito per immissione in</t>
  </si>
  <si>
    <t>Contributo tot. scambio sul posto</t>
  </si>
  <si>
    <t>Minimo tra prelievi ed immissioni</t>
  </si>
  <si>
    <t>€  (x 0,079)</t>
  </si>
  <si>
    <t>Valore medio del contributo dello scambio sul posto fissato da Autorità per Energia</t>
  </si>
  <si>
    <t>Costo medio energia prelevata dalla rete</t>
  </si>
  <si>
    <t>prezzo solo energia nella zona di riferimento</t>
  </si>
  <si>
    <t>Il GSE rimborsa l’energia (MIN) che si cede al valore fissato da AE</t>
  </si>
  <si>
    <t>Per contributo scambio sul posto serve MIN fra prelievo e immissione</t>
  </si>
  <si>
    <t>totale guadagno</t>
  </si>
  <si>
    <t>boiler elettrico 80 litri</t>
  </si>
  <si>
    <t>ferro da stiro</t>
  </si>
  <si>
    <t>illuminazione</t>
  </si>
  <si>
    <t>forno elettrico</t>
  </si>
  <si>
    <t>televisione</t>
  </si>
  <si>
    <t>Giorni</t>
  </si>
  <si>
    <t>aspirapolvere</t>
  </si>
  <si>
    <t>phone</t>
  </si>
  <si>
    <t>Kwh</t>
  </si>
  <si>
    <t>lavatrice classe C</t>
  </si>
  <si>
    <t>lavastoviglie classe C</t>
  </si>
  <si>
    <t>frigorifero classe C</t>
  </si>
  <si>
    <t>asciugatrice classe A+</t>
  </si>
  <si>
    <t>€/kwh</t>
  </si>
  <si>
    <t>microonde 990 w</t>
  </si>
  <si>
    <t>€ ( siamo a credito )</t>
  </si>
  <si>
    <t>En. immessa in eccedenza rispetto prelievo</t>
  </si>
  <si>
    <t>€ (tassato altro reddito)</t>
  </si>
  <si>
    <t>Contributo tot. scambio sul posto (sommo valore energia prelevata)</t>
  </si>
  <si>
    <t>Costo  energia elettrica</t>
  </si>
  <si>
    <t>c</t>
  </si>
  <si>
    <t>h</t>
  </si>
  <si>
    <t>kw</t>
  </si>
  <si>
    <t>kwh</t>
  </si>
  <si>
    <t>Kwh c</t>
  </si>
  <si>
    <t>Ore/giorno cicli/settimana</t>
  </si>
  <si>
    <t>80 litri ACS</t>
  </si>
  <si>
    <t>g</t>
  </si>
  <si>
    <t>Climatizzazione PDC</t>
  </si>
  <si>
    <t>Cucina</t>
  </si>
  <si>
    <t>Sala</t>
  </si>
  <si>
    <t>Bagno</t>
  </si>
  <si>
    <t>Camera+ corridoio</t>
  </si>
  <si>
    <t>SCOP</t>
  </si>
  <si>
    <t>Kwh elettrici</t>
  </si>
  <si>
    <t>Inverno</t>
  </si>
  <si>
    <t>Estate</t>
  </si>
  <si>
    <t>SERR</t>
  </si>
  <si>
    <t>P. estate</t>
  </si>
  <si>
    <t>P. inverno</t>
  </si>
  <si>
    <t>En. consumata all'ora / ciclo</t>
  </si>
  <si>
    <t>En. el. tot.  /giorno</t>
  </si>
  <si>
    <t>Kwh elet.</t>
  </si>
  <si>
    <t>Totale climatizzazione PDC</t>
  </si>
  <si>
    <t>Totale abitazione</t>
  </si>
  <si>
    <t>Energia venduta immessa in rete</t>
  </si>
  <si>
    <t>€ (1050 * 0.22)</t>
  </si>
  <si>
    <t>€ (2950 * 0.22)</t>
  </si>
  <si>
    <t>€  (2950 * 0.05)</t>
  </si>
  <si>
    <t>€ ( 2450 * 0.05)</t>
  </si>
  <si>
    <t>€ (123+194)</t>
  </si>
  <si>
    <t>COSTO FOTOVOLTAICO 3Kw con ACCUMULO (autoconsumo al 70%)</t>
  </si>
  <si>
    <t>COSTO FOTOVOLTAICO 3Kw senza ACCUMULO (autoconsumo al 25%)</t>
  </si>
  <si>
    <t>Energia auto consumata = 25%</t>
  </si>
  <si>
    <t>Energia auto consumata = 70%</t>
  </si>
  <si>
    <t>€  (1050 x 0,079)</t>
  </si>
  <si>
    <t>€  (2625 x 0,079)</t>
  </si>
  <si>
    <t>€ (53+83)</t>
  </si>
  <si>
    <t>Credito per immissione in eccedenza</t>
  </si>
  <si>
    <t>Dopo 25 anni il guadagno è pari a</t>
  </si>
  <si>
    <t>COSTO FOTOVOLTAICO 3Kw senza ACCUMULO (autoconsumo al 30%)</t>
  </si>
  <si>
    <t>Energia auto consumata = 30%</t>
  </si>
  <si>
    <t>kWh (3500*0.3)</t>
  </si>
  <si>
    <t>€  (2450 x 0,079)</t>
  </si>
  <si>
    <t>Complessivamente il guadagno per immissione e contributo GSE</t>
  </si>
  <si>
    <t>Il GSE rimborsa l’energia (MIN) che si cede al valore fissato da Ag.En.</t>
  </si>
  <si>
    <t>kWh (3500*0.7)</t>
  </si>
  <si>
    <t>€ (2450 * 0.22)</t>
  </si>
  <si>
    <t>€ (1550 * 0.22)</t>
  </si>
  <si>
    <t>€  (1550 * 0.05)</t>
  </si>
  <si>
    <t>€ ( 1050 * 0.05)</t>
  </si>
  <si>
    <t>CALCOLI</t>
  </si>
  <si>
    <t>€ (83+53)</t>
  </si>
  <si>
    <t>anno</t>
  </si>
  <si>
    <t>Spesa</t>
  </si>
  <si>
    <t>Guadagno</t>
  </si>
  <si>
    <t>Saldo</t>
  </si>
  <si>
    <t>Senza FV</t>
  </si>
  <si>
    <t>Con FV al 30% autoc.</t>
  </si>
  <si>
    <t>Con FV al 70% autoc.</t>
  </si>
  <si>
    <t>Dopo 30 anni il guadagno è pari a</t>
  </si>
  <si>
    <t>€ ogni 10 anni cambio batter.</t>
  </si>
  <si>
    <t xml:space="preserve">En. el. tot.  </t>
  </si>
  <si>
    <t>Elettrodomestico  dispositivo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</si>
</sst>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1" xfId="0" applyBorder="1"/>
    <xf numFmtId="0" fontId="0" fillId="0" borderId="3" xfId="0" applyBorder="1"/>
    <xf numFmtId="0" fontId="0" fillId="3" borderId="2" xfId="0" applyFill="1" applyBorder="1"/>
    <xf numFmtId="0" fontId="1" fillId="0" borderId="0" xfId="0" applyFont="1"/>
    <xf numFmtId="1" fontId="0" fillId="2" borderId="0" xfId="0" applyNumberFormat="1" applyFill="1"/>
    <xf numFmtId="1" fontId="0" fillId="0" borderId="0" xfId="0" applyNumberFormat="1"/>
    <xf numFmtId="0" fontId="0" fillId="3" borderId="0" xfId="0" applyFill="1"/>
    <xf numFmtId="0" fontId="0" fillId="0" borderId="0" xfId="0" applyBorder="1"/>
    <xf numFmtId="1" fontId="0" fillId="0" borderId="0" xfId="0" applyNumberFormat="1" applyBorder="1"/>
    <xf numFmtId="1" fontId="0" fillId="3" borderId="0" xfId="0" applyNumberFormat="1" applyFill="1" applyBorder="1"/>
    <xf numFmtId="0" fontId="0" fillId="0" borderId="0" xfId="0" applyFill="1" applyBorder="1" applyAlignment="1">
      <alignment horizontal="right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1" fontId="2" fillId="0" borderId="1" xfId="0" applyNumberFormat="1" applyFont="1" applyBorder="1"/>
    <xf numFmtId="0" fontId="2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0" borderId="0" xfId="0" applyFont="1"/>
    <xf numFmtId="0" fontId="2" fillId="0" borderId="10" xfId="0" applyFont="1" applyBorder="1"/>
    <xf numFmtId="0" fontId="3" fillId="2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3" xfId="0" applyFont="1" applyBorder="1"/>
    <xf numFmtId="1" fontId="2" fillId="0" borderId="3" xfId="0" applyNumberFormat="1" applyFont="1" applyBorder="1"/>
    <xf numFmtId="0" fontId="2" fillId="0" borderId="2" xfId="0" applyFont="1" applyBorder="1"/>
    <xf numFmtId="1" fontId="2" fillId="0" borderId="2" xfId="0" applyNumberFormat="1" applyFont="1" applyBorder="1"/>
    <xf numFmtId="0" fontId="3" fillId="0" borderId="0" xfId="0" applyFont="1" applyFill="1" applyBorder="1" applyAlignment="1">
      <alignment vertical="top" wrapText="1"/>
    </xf>
    <xf numFmtId="1" fontId="3" fillId="0" borderId="0" xfId="0" applyNumberFormat="1" applyFont="1"/>
    <xf numFmtId="0" fontId="3" fillId="0" borderId="0" xfId="0" applyFont="1"/>
    <xf numFmtId="0" fontId="3" fillId="0" borderId="0" xfId="0" applyFont="1" applyFill="1" applyBorder="1"/>
    <xf numFmtId="0" fontId="1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Border="1" applyAlignment="1">
      <alignment horizontal="left"/>
    </xf>
    <xf numFmtId="49" fontId="0" fillId="0" borderId="0" xfId="0" applyNumberFormat="1" applyFill="1" applyBorder="1" applyAlignment="1">
      <alignment wrapText="1"/>
    </xf>
    <xf numFmtId="0" fontId="1" fillId="0" borderId="19" xfId="0" applyFont="1" applyFill="1" applyBorder="1"/>
    <xf numFmtId="0" fontId="1" fillId="0" borderId="16" xfId="0" applyFont="1" applyFill="1" applyBorder="1"/>
    <xf numFmtId="0" fontId="0" fillId="0" borderId="21" xfId="0" applyBorder="1"/>
    <xf numFmtId="0" fontId="0" fillId="0" borderId="21" xfId="0" applyFill="1" applyBorder="1" applyAlignment="1">
      <alignment horizontal="right"/>
    </xf>
    <xf numFmtId="1" fontId="0" fillId="3" borderId="21" xfId="0" applyNumberFormat="1" applyFill="1" applyBorder="1"/>
    <xf numFmtId="0" fontId="0" fillId="0" borderId="22" xfId="0" applyBorder="1"/>
    <xf numFmtId="0" fontId="0" fillId="2" borderId="0" xfId="0" applyFill="1" applyBorder="1"/>
    <xf numFmtId="1" fontId="0" fillId="4" borderId="0" xfId="0" applyNumberFormat="1" applyFill="1" applyBorder="1"/>
    <xf numFmtId="0" fontId="0" fillId="5" borderId="19" xfId="0" applyFill="1" applyBorder="1"/>
    <xf numFmtId="0" fontId="0" fillId="5" borderId="0" xfId="0" applyFill="1" applyBorder="1"/>
    <xf numFmtId="0" fontId="0" fillId="5" borderId="19" xfId="0" applyFill="1" applyBorder="1" applyAlignment="1"/>
    <xf numFmtId="49" fontId="0" fillId="5" borderId="19" xfId="0" applyNumberFormat="1" applyFill="1" applyBorder="1" applyAlignment="1">
      <alignment wrapText="1"/>
    </xf>
    <xf numFmtId="0" fontId="0" fillId="5" borderId="15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20" xfId="0" applyFill="1" applyBorder="1"/>
    <xf numFmtId="0" fontId="0" fillId="0" borderId="15" xfId="0" applyBorder="1"/>
    <xf numFmtId="0" fontId="0" fillId="0" borderId="19" xfId="0" applyFill="1" applyBorder="1"/>
    <xf numFmtId="0" fontId="0" fillId="0" borderId="19" xfId="0" applyBorder="1" applyAlignment="1">
      <alignment horizontal="left"/>
    </xf>
    <xf numFmtId="49" fontId="0" fillId="0" borderId="19" xfId="0" applyNumberFormat="1" applyFill="1" applyBorder="1" applyAlignment="1">
      <alignment wrapText="1"/>
    </xf>
    <xf numFmtId="0" fontId="0" fillId="0" borderId="21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21" xfId="0" applyFill="1" applyBorder="1"/>
    <xf numFmtId="0" fontId="0" fillId="5" borderId="1" xfId="0" applyFill="1" applyBorder="1"/>
    <xf numFmtId="0" fontId="0" fillId="5" borderId="7" xfId="0" applyFill="1" applyBorder="1"/>
    <xf numFmtId="0" fontId="0" fillId="5" borderId="7" xfId="0" applyFill="1" applyBorder="1" applyAlignment="1"/>
    <xf numFmtId="49" fontId="0" fillId="5" borderId="7" xfId="0" applyNumberFormat="1" applyFill="1" applyBorder="1" applyAlignment="1">
      <alignment wrapText="1"/>
    </xf>
    <xf numFmtId="0" fontId="0" fillId="5" borderId="14" xfId="0" applyFill="1" applyBorder="1"/>
    <xf numFmtId="0" fontId="0" fillId="2" borderId="1" xfId="0" applyFill="1" applyBorder="1"/>
    <xf numFmtId="1" fontId="0" fillId="0" borderId="1" xfId="0" applyNumberFormat="1" applyFill="1" applyBorder="1"/>
    <xf numFmtId="1" fontId="0" fillId="4" borderId="1" xfId="0" applyNumberFormat="1" applyFill="1" applyBorder="1"/>
    <xf numFmtId="1" fontId="0" fillId="0" borderId="1" xfId="0" applyNumberFormat="1" applyBorder="1"/>
    <xf numFmtId="0" fontId="0" fillId="0" borderId="7" xfId="0" applyFill="1" applyBorder="1"/>
    <xf numFmtId="0" fontId="0" fillId="0" borderId="8" xfId="0" applyBorder="1"/>
    <xf numFmtId="0" fontId="0" fillId="0" borderId="7" xfId="0" applyBorder="1"/>
    <xf numFmtId="0" fontId="0" fillId="0" borderId="7" xfId="0" applyBorder="1" applyAlignment="1">
      <alignment horizontal="left"/>
    </xf>
    <xf numFmtId="49" fontId="0" fillId="0" borderId="7" xfId="0" applyNumberFormat="1" applyFill="1" applyBorder="1" applyAlignment="1">
      <alignment wrapText="1"/>
    </xf>
    <xf numFmtId="0" fontId="0" fillId="0" borderId="16" xfId="0" applyFill="1" applyBorder="1" applyAlignment="1">
      <alignment horizontal="right"/>
    </xf>
    <xf numFmtId="0" fontId="0" fillId="0" borderId="8" xfId="0" applyFill="1" applyBorder="1"/>
    <xf numFmtId="0" fontId="0" fillId="0" borderId="5" xfId="0" applyBorder="1"/>
    <xf numFmtId="0" fontId="0" fillId="0" borderId="6" xfId="0" applyBorder="1"/>
    <xf numFmtId="0" fontId="0" fillId="0" borderId="9" xfId="0" applyFill="1" applyBorder="1" applyAlignment="1">
      <alignment horizontal="right"/>
    </xf>
    <xf numFmtId="1" fontId="0" fillId="3" borderId="10" xfId="0" applyNumberFormat="1" applyFill="1" applyBorder="1"/>
    <xf numFmtId="0" fontId="0" fillId="0" borderId="26" xfId="0" applyBorder="1"/>
    <xf numFmtId="1" fontId="0" fillId="2" borderId="1" xfId="0" applyNumberFormat="1" applyFill="1" applyBorder="1"/>
    <xf numFmtId="1" fontId="0" fillId="3" borderId="27" xfId="0" applyNumberFormat="1" applyFill="1" applyBorder="1"/>
    <xf numFmtId="0" fontId="0" fillId="3" borderId="21" xfId="0" applyFont="1" applyFill="1" applyBorder="1"/>
    <xf numFmtId="0" fontId="1" fillId="0" borderId="15" xfId="0" applyFont="1" applyFill="1" applyBorder="1"/>
    <xf numFmtId="0" fontId="0" fillId="0" borderId="17" xfId="0" applyFont="1" applyFill="1" applyBorder="1"/>
    <xf numFmtId="1" fontId="0" fillId="0" borderId="8" xfId="0" applyNumberFormat="1" applyBorder="1"/>
    <xf numFmtId="0" fontId="0" fillId="2" borderId="7" xfId="0" applyFill="1" applyBorder="1"/>
    <xf numFmtId="1" fontId="0" fillId="2" borderId="8" xfId="0" applyNumberFormat="1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28" xfId="0" applyBorder="1"/>
    <xf numFmtId="1" fontId="0" fillId="0" borderId="29" xfId="0" applyNumberFormat="1" applyBorder="1"/>
    <xf numFmtId="1" fontId="0" fillId="0" borderId="30" xfId="0" applyNumberFormat="1" applyBorder="1"/>
    <xf numFmtId="0" fontId="0" fillId="5" borderId="31" xfId="0" applyFill="1" applyBorder="1"/>
    <xf numFmtId="0" fontId="0" fillId="5" borderId="32" xfId="0" applyFill="1" applyBorder="1"/>
    <xf numFmtId="0" fontId="0" fillId="0" borderId="33" xfId="0" applyBorder="1"/>
    <xf numFmtId="0" fontId="0" fillId="0" borderId="23" xfId="0" applyBorder="1"/>
    <xf numFmtId="0" fontId="0" fillId="2" borderId="23" xfId="0" applyFill="1" applyBorder="1"/>
    <xf numFmtId="0" fontId="0" fillId="5" borderId="35" xfId="0" applyFill="1" applyBorder="1"/>
    <xf numFmtId="0" fontId="0" fillId="0" borderId="36" xfId="0" applyBorder="1"/>
    <xf numFmtId="0" fontId="0" fillId="0" borderId="37" xfId="0" applyBorder="1"/>
    <xf numFmtId="0" fontId="0" fillId="2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0" fillId="0" borderId="40" xfId="0" applyBorder="1"/>
    <xf numFmtId="0" fontId="0" fillId="0" borderId="24" xfId="0" applyBorder="1"/>
    <xf numFmtId="0" fontId="0" fillId="2" borderId="24" xfId="0" applyFill="1" applyBorder="1"/>
    <xf numFmtId="0" fontId="0" fillId="0" borderId="17" xfId="0" applyFill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1" fontId="0" fillId="0" borderId="3" xfId="0" applyNumberFormat="1" applyBorder="1"/>
    <xf numFmtId="1" fontId="0" fillId="0" borderId="11" xfId="0" applyNumberFormat="1" applyBorder="1"/>
    <xf numFmtId="0" fontId="0" fillId="7" borderId="46" xfId="0" applyFill="1" applyBorder="1"/>
    <xf numFmtId="0" fontId="0" fillId="6" borderId="2" xfId="0" applyFill="1" applyBorder="1"/>
    <xf numFmtId="0" fontId="0" fillId="0" borderId="47" xfId="0" applyBorder="1"/>
    <xf numFmtId="0" fontId="0" fillId="0" borderId="48" xfId="0" applyBorder="1"/>
    <xf numFmtId="1" fontId="0" fillId="0" borderId="49" xfId="0" applyNumberFormat="1" applyBorder="1"/>
    <xf numFmtId="1" fontId="0" fillId="4" borderId="50" xfId="0" applyNumberFormat="1" applyFill="1" applyBorder="1"/>
    <xf numFmtId="1" fontId="0" fillId="3" borderId="50" xfId="0" applyNumberFormat="1" applyFill="1" applyBorder="1"/>
    <xf numFmtId="0" fontId="0" fillId="0" borderId="46" xfId="0" applyBorder="1"/>
    <xf numFmtId="0" fontId="0" fillId="5" borderId="34" xfId="0" applyFill="1" applyBorder="1" applyAlignment="1">
      <alignment horizontal="center"/>
    </xf>
    <xf numFmtId="49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1" fontId="2" fillId="0" borderId="0" xfId="0" applyNumberFormat="1" applyFont="1" applyFill="1" applyBorder="1"/>
    <xf numFmtId="1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1" fontId="2" fillId="0" borderId="26" xfId="0" applyNumberFormat="1" applyFont="1" applyBorder="1" applyAlignment="1">
      <alignment vertical="top" wrapText="1"/>
    </xf>
    <xf numFmtId="1" fontId="3" fillId="0" borderId="51" xfId="0" applyNumberFormat="1" applyFont="1" applyBorder="1"/>
    <xf numFmtId="1" fontId="3" fillId="0" borderId="52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6" xfId="0" applyFont="1" applyFill="1" applyBorder="1" applyAlignment="1">
      <alignment vertical="top" wrapText="1"/>
    </xf>
    <xf numFmtId="0" fontId="2" fillId="0" borderId="47" xfId="0" applyFont="1" applyBorder="1"/>
    <xf numFmtId="0" fontId="2" fillId="0" borderId="53" xfId="0" applyFont="1" applyBorder="1"/>
    <xf numFmtId="0" fontId="0" fillId="5" borderId="32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4" fillId="5" borderId="23" xfId="0" applyFont="1" applyFill="1" applyBorder="1" applyAlignment="1">
      <alignment horizontal="center" wrapText="1"/>
    </xf>
    <xf numFmtId="0" fontId="4" fillId="5" borderId="24" xfId="0" applyFont="1" applyFill="1" applyBorder="1" applyAlignment="1">
      <alignment horizontal="center" wrapText="1"/>
    </xf>
    <xf numFmtId="0" fontId="4" fillId="5" borderId="25" xfId="0" applyFont="1" applyFill="1" applyBorder="1" applyAlignment="1">
      <alignment horizontal="center" wrapText="1"/>
    </xf>
    <xf numFmtId="0" fontId="4" fillId="5" borderId="23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0" xfId="0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S10" sqref="S10"/>
    </sheetView>
  </sheetViews>
  <sheetFormatPr defaultRowHeight="14.4"/>
  <cols>
    <col min="1" max="1" width="37.21875" customWidth="1"/>
    <col min="2" max="2" width="5.77734375" customWidth="1"/>
    <col min="3" max="3" width="7.109375" customWidth="1"/>
    <col min="4" max="4" width="6" customWidth="1"/>
    <col min="5" max="5" width="11.5546875" customWidth="1"/>
    <col min="6" max="6" width="30.44140625" customWidth="1"/>
    <col min="8" max="8" width="20.44140625" customWidth="1"/>
    <col min="10" max="10" width="5.109375" bestFit="1" customWidth="1"/>
    <col min="11" max="11" width="8" customWidth="1"/>
    <col min="12" max="12" width="1.44140625" customWidth="1"/>
    <col min="13" max="13" width="6.33203125" customWidth="1"/>
    <col min="14" max="14" width="9.21875" bestFit="1" customWidth="1"/>
    <col min="15" max="15" width="6.6640625" customWidth="1"/>
    <col min="16" max="16" width="1.21875" customWidth="1"/>
    <col min="17" max="17" width="6.88671875" customWidth="1"/>
    <col min="18" max="18" width="10.88671875" customWidth="1"/>
    <col min="19" max="19" width="6.77734375" customWidth="1"/>
  </cols>
  <sheetData>
    <row r="1" spans="1:19" ht="15" thickBot="1">
      <c r="A1" s="39" t="s">
        <v>108</v>
      </c>
      <c r="B1" s="40"/>
      <c r="C1" s="40"/>
      <c r="D1" s="40"/>
      <c r="E1" s="40"/>
      <c r="F1" s="39" t="s">
        <v>119</v>
      </c>
      <c r="G1" s="40"/>
      <c r="H1" s="41"/>
    </row>
    <row r="2" spans="1:19">
      <c r="A2" s="73" t="s">
        <v>26</v>
      </c>
      <c r="B2" s="72">
        <v>4000</v>
      </c>
      <c r="C2" s="72" t="s">
        <v>0</v>
      </c>
      <c r="D2" s="72"/>
      <c r="E2" s="76"/>
      <c r="F2" s="81" t="s">
        <v>27</v>
      </c>
      <c r="G2" s="77">
        <f>B5*B9</f>
        <v>231</v>
      </c>
      <c r="H2" s="87" t="s">
        <v>94</v>
      </c>
      <c r="J2" s="107" t="s">
        <v>121</v>
      </c>
      <c r="K2" s="136" t="s">
        <v>122</v>
      </c>
      <c r="L2" s="116"/>
      <c r="M2" s="101" t="s">
        <v>122</v>
      </c>
      <c r="N2" s="102" t="s">
        <v>123</v>
      </c>
      <c r="O2" s="103" t="s">
        <v>124</v>
      </c>
      <c r="P2" s="116"/>
      <c r="Q2" s="101" t="s">
        <v>122</v>
      </c>
      <c r="R2" s="102" t="s">
        <v>123</v>
      </c>
      <c r="S2" s="103" t="s">
        <v>124</v>
      </c>
    </row>
    <row r="3" spans="1:19" ht="15" thickBot="1">
      <c r="A3" s="74" t="s">
        <v>1</v>
      </c>
      <c r="B3" s="72">
        <v>3500</v>
      </c>
      <c r="C3" s="72" t="s">
        <v>0</v>
      </c>
      <c r="D3" s="72"/>
      <c r="E3" s="76"/>
      <c r="F3" s="83" t="s">
        <v>9</v>
      </c>
      <c r="G3" s="5">
        <f>B7*B9</f>
        <v>649</v>
      </c>
      <c r="H3" s="82" t="s">
        <v>95</v>
      </c>
      <c r="J3" s="108"/>
      <c r="K3" s="112" t="s">
        <v>125</v>
      </c>
      <c r="L3" s="117"/>
      <c r="M3" s="151" t="s">
        <v>126</v>
      </c>
      <c r="N3" s="152"/>
      <c r="O3" s="153"/>
      <c r="P3" s="117"/>
      <c r="Q3" s="151" t="s">
        <v>127</v>
      </c>
      <c r="R3" s="152"/>
      <c r="S3" s="153"/>
    </row>
    <row r="4" spans="1:19" ht="14.4" customHeight="1">
      <c r="A4" s="74" t="s">
        <v>33</v>
      </c>
      <c r="B4" s="72">
        <v>6000</v>
      </c>
      <c r="C4" s="72" t="s">
        <v>12</v>
      </c>
      <c r="D4" s="72"/>
      <c r="E4" s="76"/>
      <c r="F4" s="154" t="s">
        <v>46</v>
      </c>
      <c r="G4" s="155"/>
      <c r="H4" s="156"/>
      <c r="J4" s="109">
        <v>1</v>
      </c>
      <c r="K4" s="113">
        <f>-$B$2*0.22</f>
        <v>-880</v>
      </c>
      <c r="L4" s="118"/>
      <c r="M4" s="104">
        <f>B14+G3</f>
        <v>3649</v>
      </c>
      <c r="N4" s="105">
        <f>G16</f>
        <v>547.04999999999995</v>
      </c>
      <c r="O4" s="106">
        <f>-M4+N4</f>
        <v>-3101.95</v>
      </c>
      <c r="P4" s="118"/>
      <c r="Q4" s="104">
        <f>5000+G20</f>
        <v>5341</v>
      </c>
      <c r="R4" s="105">
        <f>G33</f>
        <v>674.45</v>
      </c>
      <c r="S4" s="106">
        <f>-Q4+$G$33</f>
        <v>-4666.55</v>
      </c>
    </row>
    <row r="5" spans="1:19">
      <c r="A5" s="74" t="s">
        <v>109</v>
      </c>
      <c r="B5" s="72">
        <f>B3*0.3</f>
        <v>1050</v>
      </c>
      <c r="C5" s="72" t="s">
        <v>110</v>
      </c>
      <c r="D5" s="72"/>
      <c r="E5" s="76"/>
      <c r="F5" s="81" t="s">
        <v>16</v>
      </c>
      <c r="G5" s="78">
        <f>B7*B11</f>
        <v>147.5</v>
      </c>
      <c r="H5" s="87" t="s">
        <v>96</v>
      </c>
      <c r="J5" s="110">
        <f t="shared" ref="J5:J33" si="0">J4+1</f>
        <v>2</v>
      </c>
      <c r="K5" s="114">
        <f>K4-$B$2*0.22</f>
        <v>-1760</v>
      </c>
      <c r="L5" s="119"/>
      <c r="M5" s="83">
        <f>$G$3</f>
        <v>649</v>
      </c>
      <c r="N5" s="80">
        <f>$G$16</f>
        <v>547.04999999999995</v>
      </c>
      <c r="O5" s="98">
        <f>O4-M5+N5</f>
        <v>-3203.8999999999996</v>
      </c>
      <c r="P5" s="119"/>
      <c r="Q5" s="83">
        <f>$G$20</f>
        <v>341</v>
      </c>
      <c r="R5" s="80">
        <f>$G$33</f>
        <v>674.45</v>
      </c>
      <c r="S5" s="98">
        <f>S4-Q5+R5</f>
        <v>-4333.1000000000004</v>
      </c>
    </row>
    <row r="6" spans="1:19">
      <c r="A6" s="74" t="s">
        <v>93</v>
      </c>
      <c r="B6" s="72">
        <f>B3-B5</f>
        <v>2450</v>
      </c>
      <c r="C6" s="72" t="s">
        <v>0</v>
      </c>
      <c r="D6" s="72"/>
      <c r="E6" s="76"/>
      <c r="F6" s="84" t="s">
        <v>17</v>
      </c>
      <c r="G6" s="79">
        <f>B6*B12</f>
        <v>122.5</v>
      </c>
      <c r="H6" s="82" t="s">
        <v>97</v>
      </c>
      <c r="J6" s="110">
        <f t="shared" si="0"/>
        <v>3</v>
      </c>
      <c r="K6" s="114">
        <f t="shared" ref="K6:K33" si="1">K5-$B$2*0.22</f>
        <v>-2640</v>
      </c>
      <c r="L6" s="119"/>
      <c r="M6" s="83">
        <f t="shared" ref="M6:M33" si="2">$G$3</f>
        <v>649</v>
      </c>
      <c r="N6" s="80">
        <f t="shared" ref="N6:N33" si="3">$G$16</f>
        <v>547.04999999999995</v>
      </c>
      <c r="O6" s="98">
        <f t="shared" ref="O6:O33" si="4">O5-M6+N6</f>
        <v>-3305.8499999999995</v>
      </c>
      <c r="P6" s="119"/>
      <c r="Q6" s="83">
        <f t="shared" ref="Q6:Q33" si="5">$G$20</f>
        <v>341</v>
      </c>
      <c r="R6" s="80">
        <f t="shared" ref="R6:R33" si="6">$G$33</f>
        <v>674.45</v>
      </c>
      <c r="S6" s="98">
        <f t="shared" ref="S6:S33" si="7">S5-Q6+R6</f>
        <v>-3999.6500000000005</v>
      </c>
    </row>
    <row r="7" spans="1:19">
      <c r="A7" s="74" t="s">
        <v>4</v>
      </c>
      <c r="B7" s="72">
        <f>B2-B5</f>
        <v>2950</v>
      </c>
      <c r="C7" s="72" t="s">
        <v>0</v>
      </c>
      <c r="D7" s="72"/>
      <c r="E7" s="76"/>
      <c r="F7" s="157" t="s">
        <v>113</v>
      </c>
      <c r="G7" s="158"/>
      <c r="H7" s="159"/>
      <c r="J7" s="110">
        <f t="shared" si="0"/>
        <v>4</v>
      </c>
      <c r="K7" s="114">
        <f t="shared" si="1"/>
        <v>-3520</v>
      </c>
      <c r="L7" s="119"/>
      <c r="M7" s="83">
        <f t="shared" si="2"/>
        <v>649</v>
      </c>
      <c r="N7" s="80">
        <f t="shared" si="3"/>
        <v>547.04999999999995</v>
      </c>
      <c r="O7" s="98">
        <f t="shared" si="4"/>
        <v>-3407.7999999999993</v>
      </c>
      <c r="P7" s="119"/>
      <c r="Q7" s="83">
        <f t="shared" si="5"/>
        <v>341</v>
      </c>
      <c r="R7" s="80">
        <f t="shared" si="6"/>
        <v>674.45</v>
      </c>
      <c r="S7" s="98">
        <f t="shared" si="7"/>
        <v>-3666.2000000000007</v>
      </c>
    </row>
    <row r="8" spans="1:19">
      <c r="A8" s="73" t="s">
        <v>64</v>
      </c>
      <c r="B8" s="72">
        <f>IF(B6-B7&gt;0,B6-B7,0)</f>
        <v>0</v>
      </c>
      <c r="C8" s="72" t="s">
        <v>0</v>
      </c>
      <c r="D8" s="72"/>
      <c r="E8" s="76"/>
      <c r="F8" s="81" t="s">
        <v>40</v>
      </c>
      <c r="G8" s="79">
        <f>MIN(B7,B6)</f>
        <v>2450</v>
      </c>
      <c r="H8" s="87" t="s">
        <v>0</v>
      </c>
      <c r="J8" s="110">
        <f t="shared" si="0"/>
        <v>5</v>
      </c>
      <c r="K8" s="114">
        <f t="shared" si="1"/>
        <v>-4400</v>
      </c>
      <c r="L8" s="119"/>
      <c r="M8" s="83">
        <f t="shared" si="2"/>
        <v>649</v>
      </c>
      <c r="N8" s="80">
        <f t="shared" si="3"/>
        <v>547.04999999999995</v>
      </c>
      <c r="O8" s="98">
        <f t="shared" si="4"/>
        <v>-3509.7499999999991</v>
      </c>
      <c r="P8" s="119"/>
      <c r="Q8" s="83">
        <f t="shared" si="5"/>
        <v>341</v>
      </c>
      <c r="R8" s="80">
        <f t="shared" si="6"/>
        <v>674.45</v>
      </c>
      <c r="S8" s="98">
        <f t="shared" si="7"/>
        <v>-3332.7500000000009</v>
      </c>
    </row>
    <row r="9" spans="1:19">
      <c r="A9" s="74" t="s">
        <v>43</v>
      </c>
      <c r="B9" s="72">
        <v>0.22</v>
      </c>
      <c r="C9" s="72" t="s">
        <v>6</v>
      </c>
      <c r="D9" s="72"/>
      <c r="E9" s="76"/>
      <c r="F9" s="81" t="s">
        <v>22</v>
      </c>
      <c r="G9" s="93">
        <f>G8*B10</f>
        <v>193.55</v>
      </c>
      <c r="H9" s="87" t="s">
        <v>111</v>
      </c>
      <c r="J9" s="110">
        <f t="shared" si="0"/>
        <v>6</v>
      </c>
      <c r="K9" s="114">
        <f t="shared" si="1"/>
        <v>-5280</v>
      </c>
      <c r="L9" s="119"/>
      <c r="M9" s="83">
        <f t="shared" si="2"/>
        <v>649</v>
      </c>
      <c r="N9" s="80">
        <f t="shared" si="3"/>
        <v>547.04999999999995</v>
      </c>
      <c r="O9" s="98">
        <f t="shared" si="4"/>
        <v>-3611.6999999999989</v>
      </c>
      <c r="P9" s="119"/>
      <c r="Q9" s="83">
        <f t="shared" si="5"/>
        <v>341</v>
      </c>
      <c r="R9" s="80">
        <f t="shared" si="6"/>
        <v>674.45</v>
      </c>
      <c r="S9" s="98">
        <f t="shared" si="7"/>
        <v>-2999.3000000000011</v>
      </c>
    </row>
    <row r="10" spans="1:19" ht="28.8">
      <c r="A10" s="75" t="s">
        <v>42</v>
      </c>
      <c r="B10" s="72">
        <v>7.9000000000000001E-2</v>
      </c>
      <c r="C10" s="72" t="s">
        <v>6</v>
      </c>
      <c r="D10" s="72"/>
      <c r="E10" s="76"/>
      <c r="F10" s="85" t="s">
        <v>66</v>
      </c>
      <c r="G10" s="93">
        <f>MIN(G6,G5)+G9</f>
        <v>316.05</v>
      </c>
      <c r="H10" s="87" t="s">
        <v>98</v>
      </c>
      <c r="J10" s="110">
        <f t="shared" si="0"/>
        <v>7</v>
      </c>
      <c r="K10" s="114">
        <f t="shared" si="1"/>
        <v>-6160</v>
      </c>
      <c r="L10" s="119"/>
      <c r="M10" s="83">
        <f t="shared" si="2"/>
        <v>649</v>
      </c>
      <c r="N10" s="80">
        <f t="shared" si="3"/>
        <v>547.04999999999995</v>
      </c>
      <c r="O10" s="98">
        <f t="shared" si="4"/>
        <v>-3713.6499999999987</v>
      </c>
      <c r="P10" s="119"/>
      <c r="Q10" s="83">
        <f t="shared" si="5"/>
        <v>341</v>
      </c>
      <c r="R10" s="80">
        <f t="shared" si="6"/>
        <v>674.45</v>
      </c>
      <c r="S10" s="98">
        <f t="shared" si="7"/>
        <v>-2665.8500000000013</v>
      </c>
    </row>
    <row r="11" spans="1:19">
      <c r="A11" s="75" t="s">
        <v>13</v>
      </c>
      <c r="B11" s="72">
        <v>0.05</v>
      </c>
      <c r="C11" s="72" t="s">
        <v>30</v>
      </c>
      <c r="D11" s="72"/>
      <c r="E11" s="76"/>
      <c r="F11" s="83"/>
      <c r="G11" s="5"/>
      <c r="H11" s="82"/>
      <c r="J11" s="110">
        <f t="shared" si="0"/>
        <v>8</v>
      </c>
      <c r="K11" s="114">
        <f t="shared" si="1"/>
        <v>-7040</v>
      </c>
      <c r="L11" s="119"/>
      <c r="M11" s="83">
        <f t="shared" si="2"/>
        <v>649</v>
      </c>
      <c r="N11" s="80">
        <f t="shared" si="3"/>
        <v>547.04999999999995</v>
      </c>
      <c r="O11" s="98">
        <f t="shared" si="4"/>
        <v>-3815.5999999999985</v>
      </c>
      <c r="P11" s="119"/>
      <c r="Q11" s="83">
        <f t="shared" si="5"/>
        <v>341</v>
      </c>
      <c r="R11" s="80">
        <f t="shared" si="6"/>
        <v>674.45</v>
      </c>
      <c r="S11" s="98">
        <f t="shared" si="7"/>
        <v>-2332.4000000000015</v>
      </c>
    </row>
    <row r="12" spans="1:19" ht="13.8" customHeight="1">
      <c r="A12" s="75" t="s">
        <v>44</v>
      </c>
      <c r="B12" s="72">
        <v>0.05</v>
      </c>
      <c r="C12" s="72" t="s">
        <v>15</v>
      </c>
      <c r="D12" s="72"/>
      <c r="E12" s="76"/>
      <c r="F12" s="157" t="s">
        <v>112</v>
      </c>
      <c r="G12" s="158"/>
      <c r="H12" s="159"/>
      <c r="J12" s="110">
        <f t="shared" si="0"/>
        <v>9</v>
      </c>
      <c r="K12" s="114">
        <f t="shared" si="1"/>
        <v>-7920</v>
      </c>
      <c r="L12" s="119"/>
      <c r="M12" s="83">
        <f t="shared" si="2"/>
        <v>649</v>
      </c>
      <c r="N12" s="80">
        <f t="shared" si="3"/>
        <v>547.04999999999995</v>
      </c>
      <c r="O12" s="98">
        <f t="shared" si="4"/>
        <v>-3917.5499999999984</v>
      </c>
      <c r="P12" s="119"/>
      <c r="Q12" s="83">
        <f t="shared" si="5"/>
        <v>341</v>
      </c>
      <c r="R12" s="80">
        <f t="shared" si="6"/>
        <v>674.45</v>
      </c>
      <c r="S12" s="98">
        <f t="shared" si="7"/>
        <v>-1998.9500000000014</v>
      </c>
    </row>
    <row r="13" spans="1:19" ht="15" thickBot="1">
      <c r="A13" s="42"/>
      <c r="B13" s="12"/>
      <c r="C13" s="12"/>
      <c r="D13" s="12"/>
      <c r="E13" s="12"/>
      <c r="F13" s="83" t="s">
        <v>37</v>
      </c>
      <c r="G13" s="80">
        <f>G10</f>
        <v>316.05</v>
      </c>
      <c r="H13" s="82" t="s">
        <v>12</v>
      </c>
      <c r="J13" s="110">
        <f t="shared" si="0"/>
        <v>10</v>
      </c>
      <c r="K13" s="114">
        <f t="shared" si="1"/>
        <v>-8800</v>
      </c>
      <c r="L13" s="119"/>
      <c r="M13" s="83">
        <f t="shared" si="2"/>
        <v>649</v>
      </c>
      <c r="N13" s="80">
        <f t="shared" si="3"/>
        <v>547.04999999999995</v>
      </c>
      <c r="O13" s="98">
        <f t="shared" si="4"/>
        <v>-4019.4999999999982</v>
      </c>
      <c r="P13" s="119"/>
      <c r="Q13" s="83">
        <f t="shared" si="5"/>
        <v>341</v>
      </c>
      <c r="R13" s="80">
        <f t="shared" si="6"/>
        <v>674.45</v>
      </c>
      <c r="S13" s="98">
        <f t="shared" si="7"/>
        <v>-1665.5000000000016</v>
      </c>
    </row>
    <row r="14" spans="1:19">
      <c r="A14" s="96" t="s">
        <v>34</v>
      </c>
      <c r="B14" s="97">
        <v>3000</v>
      </c>
      <c r="C14" s="97" t="s">
        <v>12</v>
      </c>
      <c r="D14" s="40"/>
      <c r="E14" s="41"/>
      <c r="F14" s="83" t="s">
        <v>8</v>
      </c>
      <c r="G14" s="5">
        <f>G2</f>
        <v>231</v>
      </c>
      <c r="H14" s="82" t="s">
        <v>12</v>
      </c>
      <c r="J14" s="111">
        <f t="shared" si="0"/>
        <v>11</v>
      </c>
      <c r="K14" s="115">
        <f t="shared" si="1"/>
        <v>-9680</v>
      </c>
      <c r="L14" s="120"/>
      <c r="M14" s="99">
        <f t="shared" si="2"/>
        <v>649</v>
      </c>
      <c r="N14" s="93">
        <f t="shared" si="3"/>
        <v>547.04999999999995</v>
      </c>
      <c r="O14" s="100">
        <f t="shared" si="4"/>
        <v>-4121.449999999998</v>
      </c>
      <c r="P14" s="120"/>
      <c r="Q14" s="99">
        <f>$G$20+2000</f>
        <v>2341</v>
      </c>
      <c r="R14" s="93">
        <f t="shared" si="6"/>
        <v>674.45</v>
      </c>
      <c r="S14" s="100">
        <f t="shared" si="7"/>
        <v>-3332.050000000002</v>
      </c>
    </row>
    <row r="15" spans="1:19">
      <c r="A15" s="48" t="s">
        <v>35</v>
      </c>
      <c r="B15" s="70">
        <f>$B$14/$G$16</f>
        <v>5.4839594187003025</v>
      </c>
      <c r="C15" s="69" t="s">
        <v>36</v>
      </c>
      <c r="D15" s="12"/>
      <c r="E15" s="43"/>
      <c r="F15" s="83" t="s">
        <v>106</v>
      </c>
      <c r="G15" s="80">
        <f>IF(G6-G5&gt;0,G6-G5, 0)</f>
        <v>0</v>
      </c>
      <c r="H15" s="82" t="s">
        <v>65</v>
      </c>
      <c r="J15" s="110">
        <f t="shared" si="0"/>
        <v>12</v>
      </c>
      <c r="K15" s="114">
        <f t="shared" si="1"/>
        <v>-10560</v>
      </c>
      <c r="L15" s="119"/>
      <c r="M15" s="83">
        <f t="shared" si="2"/>
        <v>649</v>
      </c>
      <c r="N15" s="80">
        <f t="shared" si="3"/>
        <v>547.04999999999995</v>
      </c>
      <c r="O15" s="98">
        <f t="shared" si="4"/>
        <v>-4223.3999999999978</v>
      </c>
      <c r="P15" s="119"/>
      <c r="Q15" s="83">
        <f t="shared" si="5"/>
        <v>341</v>
      </c>
      <c r="R15" s="80">
        <f t="shared" si="6"/>
        <v>674.45</v>
      </c>
      <c r="S15" s="98">
        <f t="shared" si="7"/>
        <v>-2998.6000000000022</v>
      </c>
    </row>
    <row r="16" spans="1:19" ht="15" thickBot="1">
      <c r="A16" s="49" t="s">
        <v>128</v>
      </c>
      <c r="B16" s="95">
        <f>(30-$B$15)*$G$16</f>
        <v>13411.499999999998</v>
      </c>
      <c r="C16" s="71" t="s">
        <v>12</v>
      </c>
      <c r="D16" s="50"/>
      <c r="E16" s="53"/>
      <c r="F16" s="86" t="s">
        <v>47</v>
      </c>
      <c r="G16" s="94">
        <f>SUM(G13:G15)</f>
        <v>547.04999999999995</v>
      </c>
      <c r="H16" s="53" t="s">
        <v>12</v>
      </c>
      <c r="J16" s="110">
        <f t="shared" si="0"/>
        <v>13</v>
      </c>
      <c r="K16" s="114">
        <f t="shared" si="1"/>
        <v>-11440</v>
      </c>
      <c r="L16" s="119"/>
      <c r="M16" s="83">
        <f t="shared" si="2"/>
        <v>649</v>
      </c>
      <c r="N16" s="80">
        <f t="shared" si="3"/>
        <v>547.04999999999995</v>
      </c>
      <c r="O16" s="98">
        <f t="shared" si="4"/>
        <v>-4325.3499999999976</v>
      </c>
      <c r="P16" s="119"/>
      <c r="Q16" s="83">
        <f t="shared" si="5"/>
        <v>341</v>
      </c>
      <c r="R16" s="80">
        <f t="shared" si="6"/>
        <v>674.45</v>
      </c>
      <c r="S16" s="98">
        <f t="shared" si="7"/>
        <v>-2665.1500000000024</v>
      </c>
    </row>
    <row r="17" spans="1:19" ht="15" thickBot="1">
      <c r="J17" s="110">
        <f t="shared" si="0"/>
        <v>14</v>
      </c>
      <c r="K17" s="114">
        <f t="shared" si="1"/>
        <v>-12320</v>
      </c>
      <c r="L17" s="119"/>
      <c r="M17" s="83">
        <f t="shared" si="2"/>
        <v>649</v>
      </c>
      <c r="N17" s="80">
        <f t="shared" si="3"/>
        <v>547.04999999999995</v>
      </c>
      <c r="O17" s="98">
        <f t="shared" si="4"/>
        <v>-4427.2999999999975</v>
      </c>
      <c r="P17" s="119"/>
      <c r="Q17" s="83">
        <f t="shared" si="5"/>
        <v>341</v>
      </c>
      <c r="R17" s="80">
        <f t="shared" si="6"/>
        <v>674.45</v>
      </c>
      <c r="S17" s="98">
        <f t="shared" si="7"/>
        <v>-2331.7000000000025</v>
      </c>
    </row>
    <row r="18" spans="1:19">
      <c r="A18" s="39" t="s">
        <v>99</v>
      </c>
      <c r="B18" s="40"/>
      <c r="C18" s="40"/>
      <c r="D18" s="40"/>
      <c r="E18" s="40"/>
      <c r="F18" s="39" t="s">
        <v>119</v>
      </c>
      <c r="G18" s="88"/>
      <c r="H18" s="89"/>
      <c r="J18" s="110">
        <f t="shared" si="0"/>
        <v>15</v>
      </c>
      <c r="K18" s="114">
        <f t="shared" si="1"/>
        <v>-13200</v>
      </c>
      <c r="L18" s="119"/>
      <c r="M18" s="83">
        <f t="shared" si="2"/>
        <v>649</v>
      </c>
      <c r="N18" s="80">
        <f t="shared" si="3"/>
        <v>547.04999999999995</v>
      </c>
      <c r="O18" s="98">
        <f t="shared" si="4"/>
        <v>-4529.2499999999973</v>
      </c>
      <c r="P18" s="119"/>
      <c r="Q18" s="83">
        <f t="shared" si="5"/>
        <v>341</v>
      </c>
      <c r="R18" s="80">
        <f t="shared" si="6"/>
        <v>674.45</v>
      </c>
      <c r="S18" s="98">
        <f t="shared" si="7"/>
        <v>-1998.2500000000025</v>
      </c>
    </row>
    <row r="19" spans="1:19">
      <c r="A19" s="73" t="s">
        <v>26</v>
      </c>
      <c r="B19" s="72">
        <v>4000</v>
      </c>
      <c r="C19" s="72" t="s">
        <v>0</v>
      </c>
      <c r="D19" s="72"/>
      <c r="E19" s="76"/>
      <c r="F19" s="81" t="s">
        <v>27</v>
      </c>
      <c r="G19" s="77">
        <f>B22*B26</f>
        <v>539</v>
      </c>
      <c r="H19" s="87" t="s">
        <v>115</v>
      </c>
      <c r="J19" s="110">
        <f t="shared" si="0"/>
        <v>16</v>
      </c>
      <c r="K19" s="114">
        <f t="shared" si="1"/>
        <v>-14080</v>
      </c>
      <c r="L19" s="119"/>
      <c r="M19" s="83">
        <f t="shared" si="2"/>
        <v>649</v>
      </c>
      <c r="N19" s="80">
        <f t="shared" si="3"/>
        <v>547.04999999999995</v>
      </c>
      <c r="O19" s="98">
        <f t="shared" si="4"/>
        <v>-4631.1999999999971</v>
      </c>
      <c r="P19" s="119"/>
      <c r="Q19" s="83">
        <f t="shared" si="5"/>
        <v>341</v>
      </c>
      <c r="R19" s="80">
        <f t="shared" si="6"/>
        <v>674.45</v>
      </c>
      <c r="S19" s="98">
        <f t="shared" si="7"/>
        <v>-1664.8000000000027</v>
      </c>
    </row>
    <row r="20" spans="1:19">
      <c r="A20" s="74" t="s">
        <v>1</v>
      </c>
      <c r="B20" s="72">
        <v>3500</v>
      </c>
      <c r="C20" s="72" t="s">
        <v>0</v>
      </c>
      <c r="D20" s="72"/>
      <c r="E20" s="76"/>
      <c r="F20" s="83" t="s">
        <v>9</v>
      </c>
      <c r="G20" s="5">
        <f>B24*B26</f>
        <v>341</v>
      </c>
      <c r="H20" s="82" t="s">
        <v>116</v>
      </c>
      <c r="J20" s="110">
        <f t="shared" si="0"/>
        <v>17</v>
      </c>
      <c r="K20" s="114">
        <f t="shared" si="1"/>
        <v>-14960</v>
      </c>
      <c r="L20" s="119"/>
      <c r="M20" s="83">
        <f t="shared" si="2"/>
        <v>649</v>
      </c>
      <c r="N20" s="80">
        <f t="shared" si="3"/>
        <v>547.04999999999995</v>
      </c>
      <c r="O20" s="98">
        <f t="shared" si="4"/>
        <v>-4733.1499999999969</v>
      </c>
      <c r="P20" s="119"/>
      <c r="Q20" s="83">
        <f t="shared" si="5"/>
        <v>341</v>
      </c>
      <c r="R20" s="80">
        <f t="shared" si="6"/>
        <v>674.45</v>
      </c>
      <c r="S20" s="98">
        <f t="shared" si="7"/>
        <v>-1331.3500000000026</v>
      </c>
    </row>
    <row r="21" spans="1:19">
      <c r="A21" s="74" t="s">
        <v>33</v>
      </c>
      <c r="B21" s="72">
        <v>6000</v>
      </c>
      <c r="C21" s="72" t="s">
        <v>12</v>
      </c>
      <c r="D21" s="72"/>
      <c r="E21" s="76"/>
      <c r="F21" s="154" t="s">
        <v>46</v>
      </c>
      <c r="G21" s="155"/>
      <c r="H21" s="156"/>
      <c r="J21" s="110">
        <f t="shared" si="0"/>
        <v>18</v>
      </c>
      <c r="K21" s="114">
        <f t="shared" si="1"/>
        <v>-15840</v>
      </c>
      <c r="L21" s="119"/>
      <c r="M21" s="83">
        <f t="shared" si="2"/>
        <v>649</v>
      </c>
      <c r="N21" s="80">
        <f t="shared" si="3"/>
        <v>547.04999999999995</v>
      </c>
      <c r="O21" s="98">
        <f t="shared" si="4"/>
        <v>-4835.0999999999967</v>
      </c>
      <c r="P21" s="119"/>
      <c r="Q21" s="83">
        <f t="shared" si="5"/>
        <v>341</v>
      </c>
      <c r="R21" s="80">
        <f t="shared" si="6"/>
        <v>674.45</v>
      </c>
      <c r="S21" s="98">
        <f t="shared" si="7"/>
        <v>-997.90000000000259</v>
      </c>
    </row>
    <row r="22" spans="1:19">
      <c r="A22" s="74" t="s">
        <v>102</v>
      </c>
      <c r="B22" s="72">
        <f>B20*0.7</f>
        <v>2450</v>
      </c>
      <c r="C22" s="72" t="s">
        <v>114</v>
      </c>
      <c r="D22" s="72"/>
      <c r="E22" s="76"/>
      <c r="F22" s="81" t="s">
        <v>16</v>
      </c>
      <c r="G22" s="78">
        <f>B24*B28</f>
        <v>77.5</v>
      </c>
      <c r="H22" s="87" t="s">
        <v>117</v>
      </c>
      <c r="J22" s="110">
        <f t="shared" si="0"/>
        <v>19</v>
      </c>
      <c r="K22" s="114">
        <f t="shared" si="1"/>
        <v>-16720</v>
      </c>
      <c r="L22" s="119"/>
      <c r="M22" s="83">
        <f t="shared" si="2"/>
        <v>649</v>
      </c>
      <c r="N22" s="80">
        <f t="shared" si="3"/>
        <v>547.04999999999995</v>
      </c>
      <c r="O22" s="98">
        <f t="shared" si="4"/>
        <v>-4937.0499999999965</v>
      </c>
      <c r="P22" s="119"/>
      <c r="Q22" s="83">
        <f t="shared" si="5"/>
        <v>341</v>
      </c>
      <c r="R22" s="80">
        <f t="shared" si="6"/>
        <v>674.45</v>
      </c>
      <c r="S22" s="98">
        <f t="shared" si="7"/>
        <v>-664.45000000000255</v>
      </c>
    </row>
    <row r="23" spans="1:19">
      <c r="A23" s="74" t="s">
        <v>93</v>
      </c>
      <c r="B23" s="72">
        <f>B20-B22</f>
        <v>1050</v>
      </c>
      <c r="C23" s="72" t="s">
        <v>0</v>
      </c>
      <c r="D23" s="72"/>
      <c r="E23" s="76"/>
      <c r="F23" s="84" t="s">
        <v>17</v>
      </c>
      <c r="G23" s="79">
        <f>B23*B29</f>
        <v>52.5</v>
      </c>
      <c r="H23" s="82" t="s">
        <v>118</v>
      </c>
      <c r="J23" s="110">
        <f t="shared" si="0"/>
        <v>20</v>
      </c>
      <c r="K23" s="114">
        <f t="shared" si="1"/>
        <v>-17600</v>
      </c>
      <c r="L23" s="119"/>
      <c r="M23" s="83">
        <f t="shared" si="2"/>
        <v>649</v>
      </c>
      <c r="N23" s="80">
        <f t="shared" si="3"/>
        <v>547.04999999999995</v>
      </c>
      <c r="O23" s="98">
        <f t="shared" si="4"/>
        <v>-5038.9999999999964</v>
      </c>
      <c r="P23" s="119"/>
      <c r="Q23" s="83">
        <f t="shared" si="5"/>
        <v>341</v>
      </c>
      <c r="R23" s="80">
        <f t="shared" si="6"/>
        <v>674.45</v>
      </c>
      <c r="S23" s="98">
        <f t="shared" si="7"/>
        <v>-331.0000000000025</v>
      </c>
    </row>
    <row r="24" spans="1:19">
      <c r="A24" s="74" t="s">
        <v>4</v>
      </c>
      <c r="B24" s="72">
        <f>B19-B22</f>
        <v>1550</v>
      </c>
      <c r="C24" s="72" t="s">
        <v>0</v>
      </c>
      <c r="D24" s="72"/>
      <c r="E24" s="76"/>
      <c r="F24" s="157" t="s">
        <v>113</v>
      </c>
      <c r="G24" s="158"/>
      <c r="H24" s="159"/>
      <c r="J24" s="111">
        <f t="shared" si="0"/>
        <v>21</v>
      </c>
      <c r="K24" s="115">
        <f t="shared" si="1"/>
        <v>-18480</v>
      </c>
      <c r="L24" s="120"/>
      <c r="M24" s="99">
        <f t="shared" si="2"/>
        <v>649</v>
      </c>
      <c r="N24" s="93">
        <f t="shared" si="3"/>
        <v>547.04999999999995</v>
      </c>
      <c r="O24" s="100">
        <f t="shared" si="4"/>
        <v>-5140.9499999999962</v>
      </c>
      <c r="P24" s="120"/>
      <c r="Q24" s="99">
        <f>$G$20+2000</f>
        <v>2341</v>
      </c>
      <c r="R24" s="93">
        <f t="shared" si="6"/>
        <v>674.45</v>
      </c>
      <c r="S24" s="100">
        <f t="shared" si="7"/>
        <v>-1997.5500000000027</v>
      </c>
    </row>
    <row r="25" spans="1:19">
      <c r="A25" s="73" t="s">
        <v>64</v>
      </c>
      <c r="B25" s="72">
        <f>IF(B23-B24&gt;0,B23-B24,0)</f>
        <v>0</v>
      </c>
      <c r="C25" s="72" t="s">
        <v>0</v>
      </c>
      <c r="D25" s="72"/>
      <c r="E25" s="76"/>
      <c r="F25" s="81" t="s">
        <v>40</v>
      </c>
      <c r="G25" s="79">
        <f>MIN(B24,B23)</f>
        <v>1050</v>
      </c>
      <c r="H25" s="87" t="s">
        <v>0</v>
      </c>
      <c r="J25" s="110">
        <f t="shared" si="0"/>
        <v>22</v>
      </c>
      <c r="K25" s="114">
        <f t="shared" si="1"/>
        <v>-19360</v>
      </c>
      <c r="L25" s="119"/>
      <c r="M25" s="83">
        <f t="shared" si="2"/>
        <v>649</v>
      </c>
      <c r="N25" s="80">
        <f t="shared" si="3"/>
        <v>547.04999999999995</v>
      </c>
      <c r="O25" s="98">
        <f t="shared" si="4"/>
        <v>-5242.899999999996</v>
      </c>
      <c r="P25" s="119"/>
      <c r="Q25" s="83">
        <f t="shared" si="5"/>
        <v>341</v>
      </c>
      <c r="R25" s="80">
        <f t="shared" si="6"/>
        <v>674.45</v>
      </c>
      <c r="S25" s="98">
        <f t="shared" si="7"/>
        <v>-1664.1000000000029</v>
      </c>
    </row>
    <row r="26" spans="1:19">
      <c r="A26" s="74" t="s">
        <v>43</v>
      </c>
      <c r="B26" s="72">
        <v>0.22</v>
      </c>
      <c r="C26" s="72" t="s">
        <v>6</v>
      </c>
      <c r="D26" s="72"/>
      <c r="E26" s="76"/>
      <c r="F26" s="81" t="s">
        <v>22</v>
      </c>
      <c r="G26" s="93">
        <f>G25*B27</f>
        <v>82.95</v>
      </c>
      <c r="H26" s="87" t="s">
        <v>103</v>
      </c>
      <c r="J26" s="110">
        <f t="shared" si="0"/>
        <v>23</v>
      </c>
      <c r="K26" s="114">
        <f t="shared" si="1"/>
        <v>-20240</v>
      </c>
      <c r="L26" s="119"/>
      <c r="M26" s="83">
        <f t="shared" si="2"/>
        <v>649</v>
      </c>
      <c r="N26" s="80">
        <f t="shared" si="3"/>
        <v>547.04999999999995</v>
      </c>
      <c r="O26" s="98">
        <f t="shared" si="4"/>
        <v>-5344.8499999999958</v>
      </c>
      <c r="P26" s="119"/>
      <c r="Q26" s="83">
        <f t="shared" si="5"/>
        <v>341</v>
      </c>
      <c r="R26" s="80">
        <f t="shared" si="6"/>
        <v>674.45</v>
      </c>
      <c r="S26" s="98">
        <f t="shared" si="7"/>
        <v>-1330.6500000000028</v>
      </c>
    </row>
    <row r="27" spans="1:19" ht="29.4" thickBot="1">
      <c r="A27" s="75" t="s">
        <v>42</v>
      </c>
      <c r="B27" s="72">
        <v>7.9000000000000001E-2</v>
      </c>
      <c r="C27" s="72" t="s">
        <v>6</v>
      </c>
      <c r="D27" s="72"/>
      <c r="E27" s="76"/>
      <c r="F27" s="85" t="s">
        <v>66</v>
      </c>
      <c r="G27" s="93">
        <f>MIN(G23,G22)+G26</f>
        <v>135.44999999999999</v>
      </c>
      <c r="H27" s="87" t="s">
        <v>120</v>
      </c>
      <c r="J27" s="122">
        <f t="shared" si="0"/>
        <v>24</v>
      </c>
      <c r="K27" s="123">
        <f t="shared" si="1"/>
        <v>-21120</v>
      </c>
      <c r="L27" s="124"/>
      <c r="M27" s="125">
        <f t="shared" si="2"/>
        <v>649</v>
      </c>
      <c r="N27" s="126">
        <f t="shared" si="3"/>
        <v>547.04999999999995</v>
      </c>
      <c r="O27" s="127">
        <f t="shared" si="4"/>
        <v>-5446.7999999999956</v>
      </c>
      <c r="P27" s="124"/>
      <c r="Q27" s="125">
        <f t="shared" si="5"/>
        <v>341</v>
      </c>
      <c r="R27" s="126">
        <f t="shared" si="6"/>
        <v>674.45</v>
      </c>
      <c r="S27" s="127">
        <f t="shared" si="7"/>
        <v>-997.20000000000277</v>
      </c>
    </row>
    <row r="28" spans="1:19" ht="15" thickBot="1">
      <c r="A28" s="75" t="s">
        <v>13</v>
      </c>
      <c r="B28" s="72">
        <v>0.05</v>
      </c>
      <c r="C28" s="72" t="s">
        <v>30</v>
      </c>
      <c r="D28" s="72"/>
      <c r="E28" s="76"/>
      <c r="F28" s="83"/>
      <c r="G28" s="5"/>
      <c r="H28" s="82"/>
      <c r="J28" s="128">
        <f t="shared" si="0"/>
        <v>25</v>
      </c>
      <c r="K28" s="129">
        <f t="shared" si="1"/>
        <v>-22000</v>
      </c>
      <c r="L28" s="130"/>
      <c r="M28" s="131">
        <f t="shared" si="2"/>
        <v>649</v>
      </c>
      <c r="N28" s="132">
        <f t="shared" si="3"/>
        <v>547.04999999999995</v>
      </c>
      <c r="O28" s="133">
        <f t="shared" si="4"/>
        <v>-5548.7499999999955</v>
      </c>
      <c r="P28" s="130"/>
      <c r="Q28" s="131">
        <f t="shared" si="5"/>
        <v>341</v>
      </c>
      <c r="R28" s="132">
        <f t="shared" si="6"/>
        <v>674.45</v>
      </c>
      <c r="S28" s="134">
        <f t="shared" si="7"/>
        <v>-663.75000000000273</v>
      </c>
    </row>
    <row r="29" spans="1:19" ht="15.6" customHeight="1" thickBot="1">
      <c r="A29" s="75" t="s">
        <v>44</v>
      </c>
      <c r="B29" s="72">
        <v>0.05</v>
      </c>
      <c r="C29" s="72" t="s">
        <v>15</v>
      </c>
      <c r="D29" s="72"/>
      <c r="E29" s="76"/>
      <c r="F29" s="157" t="s">
        <v>112</v>
      </c>
      <c r="G29" s="158"/>
      <c r="H29" s="159"/>
      <c r="J29" s="109">
        <f t="shared" si="0"/>
        <v>26</v>
      </c>
      <c r="K29" s="113">
        <f t="shared" si="1"/>
        <v>-22880</v>
      </c>
      <c r="L29" s="118"/>
      <c r="M29" s="104">
        <f t="shared" si="2"/>
        <v>649</v>
      </c>
      <c r="N29" s="105">
        <f t="shared" si="3"/>
        <v>547.04999999999995</v>
      </c>
      <c r="O29" s="106">
        <f t="shared" si="4"/>
        <v>-5650.6999999999953</v>
      </c>
      <c r="P29" s="118"/>
      <c r="Q29" s="104">
        <f t="shared" si="5"/>
        <v>341</v>
      </c>
      <c r="R29" s="105">
        <f t="shared" si="6"/>
        <v>674.45</v>
      </c>
      <c r="S29" s="106">
        <f t="shared" si="7"/>
        <v>-330.30000000000268</v>
      </c>
    </row>
    <row r="30" spans="1:19" ht="15" thickBot="1">
      <c r="A30" s="64"/>
      <c r="B30" s="40"/>
      <c r="C30" s="40"/>
      <c r="D30" s="40"/>
      <c r="E30" s="40"/>
      <c r="F30" s="83" t="s">
        <v>37</v>
      </c>
      <c r="G30" s="80">
        <f>G27</f>
        <v>135.44999999999999</v>
      </c>
      <c r="H30" s="82" t="s">
        <v>12</v>
      </c>
      <c r="J30" s="110">
        <f t="shared" si="0"/>
        <v>27</v>
      </c>
      <c r="K30" s="114">
        <f t="shared" si="1"/>
        <v>-23760</v>
      </c>
      <c r="L30" s="119"/>
      <c r="M30" s="83">
        <f t="shared" si="2"/>
        <v>649</v>
      </c>
      <c r="N30" s="80">
        <f t="shared" si="3"/>
        <v>547.04999999999995</v>
      </c>
      <c r="O30" s="98">
        <f t="shared" si="4"/>
        <v>-5752.6499999999951</v>
      </c>
      <c r="P30" s="119"/>
      <c r="Q30" s="83">
        <f t="shared" si="5"/>
        <v>341</v>
      </c>
      <c r="R30" s="80">
        <f t="shared" si="6"/>
        <v>674.45</v>
      </c>
      <c r="S30" s="98">
        <f t="shared" si="7"/>
        <v>3.1499999999973625</v>
      </c>
    </row>
    <row r="31" spans="1:19">
      <c r="A31" s="96" t="s">
        <v>34</v>
      </c>
      <c r="B31" s="97">
        <f>10000*0.5+4000*0.5*2</f>
        <v>9000</v>
      </c>
      <c r="C31" s="121" t="s">
        <v>129</v>
      </c>
      <c r="D31" s="40"/>
      <c r="E31" s="41"/>
      <c r="F31" s="83" t="s">
        <v>8</v>
      </c>
      <c r="G31" s="5">
        <f>G19</f>
        <v>539</v>
      </c>
      <c r="H31" s="82" t="s">
        <v>12</v>
      </c>
      <c r="J31" s="110">
        <f t="shared" si="0"/>
        <v>28</v>
      </c>
      <c r="K31" s="114">
        <f t="shared" si="1"/>
        <v>-24640</v>
      </c>
      <c r="L31" s="119"/>
      <c r="M31" s="83">
        <f t="shared" si="2"/>
        <v>649</v>
      </c>
      <c r="N31" s="80">
        <f t="shared" si="3"/>
        <v>547.04999999999995</v>
      </c>
      <c r="O31" s="98">
        <f t="shared" si="4"/>
        <v>-5854.5999999999949</v>
      </c>
      <c r="P31" s="119"/>
      <c r="Q31" s="83">
        <f t="shared" si="5"/>
        <v>341</v>
      </c>
      <c r="R31" s="80">
        <f t="shared" si="6"/>
        <v>674.45</v>
      </c>
      <c r="S31" s="98">
        <f t="shared" si="7"/>
        <v>336.59999999999741</v>
      </c>
    </row>
    <row r="32" spans="1:19" ht="15" thickBot="1">
      <c r="A32" s="48" t="s">
        <v>35</v>
      </c>
      <c r="B32" s="70">
        <f>$B$31/$G$33</f>
        <v>13.34420639039217</v>
      </c>
      <c r="C32" s="69" t="s">
        <v>36</v>
      </c>
      <c r="D32" s="12"/>
      <c r="E32" s="43"/>
      <c r="F32" s="83" t="s">
        <v>106</v>
      </c>
      <c r="G32" s="80">
        <f>IF(G23-G22&gt;0,G23-G22, 0)</f>
        <v>0</v>
      </c>
      <c r="H32" s="82" t="s">
        <v>65</v>
      </c>
      <c r="J32" s="122">
        <f t="shared" si="0"/>
        <v>29</v>
      </c>
      <c r="K32" s="123">
        <f t="shared" si="1"/>
        <v>-25520</v>
      </c>
      <c r="L32" s="124"/>
      <c r="M32" s="125">
        <f t="shared" si="2"/>
        <v>649</v>
      </c>
      <c r="N32" s="126">
        <f t="shared" si="3"/>
        <v>547.04999999999995</v>
      </c>
      <c r="O32" s="127">
        <f t="shared" si="4"/>
        <v>-5956.5499999999947</v>
      </c>
      <c r="P32" s="124"/>
      <c r="Q32" s="125">
        <f t="shared" si="5"/>
        <v>341</v>
      </c>
      <c r="R32" s="126">
        <f t="shared" si="6"/>
        <v>674.45</v>
      </c>
      <c r="S32" s="127">
        <f t="shared" si="7"/>
        <v>670.04999999999745</v>
      </c>
    </row>
    <row r="33" spans="1:19" ht="15" thickBot="1">
      <c r="A33" s="49" t="s">
        <v>128</v>
      </c>
      <c r="B33" s="95">
        <f>(30-$B$32)*$G$33</f>
        <v>11233.500000000002</v>
      </c>
      <c r="C33" s="71" t="s">
        <v>12</v>
      </c>
      <c r="D33" s="50"/>
      <c r="E33" s="53"/>
      <c r="F33" s="90" t="s">
        <v>47</v>
      </c>
      <c r="G33" s="91">
        <f>SUM(G30:G32)</f>
        <v>674.45</v>
      </c>
      <c r="H33" s="92" t="s">
        <v>12</v>
      </c>
      <c r="J33" s="135">
        <f t="shared" si="0"/>
        <v>30</v>
      </c>
      <c r="K33" s="129">
        <f t="shared" si="1"/>
        <v>-26400</v>
      </c>
      <c r="L33" s="130"/>
      <c r="M33" s="131">
        <f t="shared" si="2"/>
        <v>649</v>
      </c>
      <c r="N33" s="132">
        <f t="shared" si="3"/>
        <v>547.04999999999995</v>
      </c>
      <c r="O33" s="133">
        <f t="shared" si="4"/>
        <v>-6058.4999999999945</v>
      </c>
      <c r="P33" s="130"/>
      <c r="Q33" s="131">
        <f t="shared" si="5"/>
        <v>341</v>
      </c>
      <c r="R33" s="132">
        <f t="shared" si="6"/>
        <v>674.45</v>
      </c>
      <c r="S33" s="134">
        <f t="shared" si="7"/>
        <v>1003.4999999999975</v>
      </c>
    </row>
  </sheetData>
  <mergeCells count="8">
    <mergeCell ref="F24:H24"/>
    <mergeCell ref="F29:H29"/>
    <mergeCell ref="M3:O3"/>
    <mergeCell ref="Q3:S3"/>
    <mergeCell ref="F21:H21"/>
    <mergeCell ref="F4:H4"/>
    <mergeCell ref="F12:H12"/>
    <mergeCell ref="F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4" sqref="J4"/>
    </sheetView>
  </sheetViews>
  <sheetFormatPr defaultRowHeight="14.4"/>
  <cols>
    <col min="1" max="1" width="27.44140625" customWidth="1"/>
    <col min="2" max="2" width="10.33203125" customWidth="1"/>
    <col min="3" max="3" width="6.44140625" customWidth="1"/>
    <col min="4" max="4" width="12.44140625" customWidth="1"/>
    <col min="5" max="5" width="4.33203125" customWidth="1"/>
    <col min="6" max="6" width="10.33203125" customWidth="1"/>
    <col min="7" max="7" width="9.21875" customWidth="1"/>
    <col min="8" max="8" width="8.6640625" customWidth="1"/>
    <col min="9" max="9" width="9.5546875" customWidth="1"/>
    <col min="10" max="10" width="10.88671875" customWidth="1"/>
  </cols>
  <sheetData>
    <row r="1" spans="1:12" ht="34.200000000000003" customHeight="1">
      <c r="A1" s="21" t="s">
        <v>131</v>
      </c>
      <c r="B1" s="160" t="s">
        <v>88</v>
      </c>
      <c r="C1" s="161"/>
      <c r="D1" s="160" t="s">
        <v>73</v>
      </c>
      <c r="E1" s="161"/>
      <c r="F1" s="22" t="s">
        <v>89</v>
      </c>
      <c r="G1" s="22" t="s">
        <v>53</v>
      </c>
      <c r="H1" s="142" t="s">
        <v>130</v>
      </c>
      <c r="I1" s="137"/>
      <c r="J1" s="26"/>
      <c r="K1" s="26"/>
      <c r="L1" s="26"/>
    </row>
    <row r="2" spans="1:12" ht="15.6">
      <c r="A2" s="18" t="s">
        <v>59</v>
      </c>
      <c r="B2" s="16">
        <v>0.1</v>
      </c>
      <c r="C2" s="16" t="s">
        <v>71</v>
      </c>
      <c r="D2" s="16">
        <v>10</v>
      </c>
      <c r="E2" s="16" t="s">
        <v>69</v>
      </c>
      <c r="F2" s="16">
        <f>D2*B2</f>
        <v>1</v>
      </c>
      <c r="G2" s="16">
        <v>365</v>
      </c>
      <c r="H2" s="143">
        <f>F2*G2</f>
        <v>365</v>
      </c>
      <c r="I2" s="138"/>
      <c r="J2" s="26"/>
      <c r="K2" s="26"/>
      <c r="L2" s="26"/>
    </row>
    <row r="3" spans="1:12" ht="15.6">
      <c r="A3" s="18" t="s">
        <v>58</v>
      </c>
      <c r="B3" s="16">
        <v>2</v>
      </c>
      <c r="C3" s="16" t="s">
        <v>72</v>
      </c>
      <c r="D3" s="16">
        <v>7</v>
      </c>
      <c r="E3" s="16" t="s">
        <v>68</v>
      </c>
      <c r="F3" s="16">
        <f>D3*B3/7</f>
        <v>2</v>
      </c>
      <c r="G3" s="16">
        <v>365</v>
      </c>
      <c r="H3" s="143">
        <f t="shared" ref="H3:H13" si="0">F3*G3</f>
        <v>730</v>
      </c>
      <c r="I3" s="139"/>
      <c r="J3" s="26"/>
      <c r="K3" s="26"/>
      <c r="L3" s="26"/>
    </row>
    <row r="4" spans="1:12" ht="15.6">
      <c r="A4" s="18" t="s">
        <v>57</v>
      </c>
      <c r="B4" s="16">
        <v>2</v>
      </c>
      <c r="C4" s="16" t="s">
        <v>72</v>
      </c>
      <c r="D4" s="16">
        <v>2</v>
      </c>
      <c r="E4" s="16" t="s">
        <v>68</v>
      </c>
      <c r="F4" s="17">
        <f>B4*D4/7</f>
        <v>0.5714285714285714</v>
      </c>
      <c r="G4" s="16">
        <v>365</v>
      </c>
      <c r="H4" s="143">
        <f t="shared" si="0"/>
        <v>208.57142857142856</v>
      </c>
      <c r="I4" s="139"/>
      <c r="J4" s="26"/>
      <c r="K4" s="26"/>
      <c r="L4" s="26"/>
    </row>
    <row r="5" spans="1:12" ht="15.6">
      <c r="A5" s="18" t="s">
        <v>60</v>
      </c>
      <c r="B5" s="16">
        <v>0.4</v>
      </c>
      <c r="C5" s="16" t="s">
        <v>72</v>
      </c>
      <c r="D5" s="16">
        <v>2</v>
      </c>
      <c r="E5" s="16" t="s">
        <v>68</v>
      </c>
      <c r="F5" s="17">
        <f>B5*D5/7</f>
        <v>0.1142857142857143</v>
      </c>
      <c r="G5" s="16">
        <v>365</v>
      </c>
      <c r="H5" s="143">
        <f t="shared" si="0"/>
        <v>41.714285714285715</v>
      </c>
      <c r="I5" s="139"/>
      <c r="J5" s="26"/>
      <c r="K5" s="26"/>
      <c r="L5" s="26"/>
    </row>
    <row r="6" spans="1:12" ht="15.6">
      <c r="A6" s="18" t="s">
        <v>62</v>
      </c>
      <c r="B6" s="16">
        <v>0.9</v>
      </c>
      <c r="C6" s="16" t="s">
        <v>71</v>
      </c>
      <c r="D6" s="16">
        <v>0.5</v>
      </c>
      <c r="E6" s="16" t="s">
        <v>69</v>
      </c>
      <c r="F6" s="16">
        <f>D6*0.9</f>
        <v>0.45</v>
      </c>
      <c r="G6" s="16">
        <v>365</v>
      </c>
      <c r="H6" s="143">
        <f t="shared" si="0"/>
        <v>164.25</v>
      </c>
      <c r="I6" s="139"/>
      <c r="J6" s="26"/>
      <c r="K6" s="26"/>
      <c r="L6" s="26"/>
    </row>
    <row r="7" spans="1:12" ht="15.6">
      <c r="A7" s="18" t="s">
        <v>48</v>
      </c>
      <c r="B7" s="16">
        <v>1.5</v>
      </c>
      <c r="C7" s="16" t="s">
        <v>70</v>
      </c>
      <c r="D7" s="16" t="s">
        <v>74</v>
      </c>
      <c r="E7" s="16" t="s">
        <v>75</v>
      </c>
      <c r="F7" s="17">
        <f>80*4186*35/3600000</f>
        <v>3.2557777777777779</v>
      </c>
      <c r="G7" s="16">
        <v>365</v>
      </c>
      <c r="H7" s="143">
        <f t="shared" si="0"/>
        <v>1188.3588888888889</v>
      </c>
      <c r="I7" s="139"/>
      <c r="J7" s="26"/>
      <c r="K7" s="26"/>
      <c r="L7" s="26"/>
    </row>
    <row r="8" spans="1:12" ht="15.6">
      <c r="A8" s="18" t="s">
        <v>49</v>
      </c>
      <c r="B8" s="16">
        <v>1</v>
      </c>
      <c r="C8" s="16" t="s">
        <v>71</v>
      </c>
      <c r="D8" s="16">
        <v>0.5</v>
      </c>
      <c r="E8" s="16" t="s">
        <v>69</v>
      </c>
      <c r="F8" s="16">
        <f>D8*B8</f>
        <v>0.5</v>
      </c>
      <c r="G8" s="16">
        <v>365</v>
      </c>
      <c r="H8" s="143">
        <f t="shared" si="0"/>
        <v>182.5</v>
      </c>
      <c r="I8" s="139"/>
      <c r="J8" s="26"/>
      <c r="K8" s="26"/>
      <c r="L8" s="26"/>
    </row>
    <row r="9" spans="1:12" ht="15.6">
      <c r="A9" s="18" t="s">
        <v>50</v>
      </c>
      <c r="B9" s="16">
        <v>0.1</v>
      </c>
      <c r="C9" s="16" t="s">
        <v>71</v>
      </c>
      <c r="D9" s="16">
        <v>6</v>
      </c>
      <c r="E9" s="16" t="s">
        <v>69</v>
      </c>
      <c r="F9" s="16">
        <f>B9*D9</f>
        <v>0.60000000000000009</v>
      </c>
      <c r="G9" s="16">
        <v>365</v>
      </c>
      <c r="H9" s="143">
        <f t="shared" si="0"/>
        <v>219.00000000000003</v>
      </c>
      <c r="I9" s="139"/>
      <c r="J9" s="26"/>
      <c r="K9" s="26"/>
      <c r="L9" s="26"/>
    </row>
    <row r="10" spans="1:12" ht="15.6">
      <c r="A10" s="18" t="s">
        <v>54</v>
      </c>
      <c r="B10" s="16">
        <v>1</v>
      </c>
      <c r="C10" s="16" t="s">
        <v>71</v>
      </c>
      <c r="D10" s="16">
        <v>0.5</v>
      </c>
      <c r="E10" s="16" t="s">
        <v>69</v>
      </c>
      <c r="F10" s="16">
        <f>B10*D10</f>
        <v>0.5</v>
      </c>
      <c r="G10" s="16">
        <v>365</v>
      </c>
      <c r="H10" s="143">
        <f t="shared" si="0"/>
        <v>182.5</v>
      </c>
      <c r="I10" s="139"/>
      <c r="J10" s="26"/>
      <c r="K10" s="26"/>
      <c r="L10" s="26"/>
    </row>
    <row r="11" spans="1:12" ht="15.6">
      <c r="A11" s="18" t="s">
        <v>51</v>
      </c>
      <c r="B11" s="16">
        <v>2.2999999999999998</v>
      </c>
      <c r="C11" s="16" t="s">
        <v>71</v>
      </c>
      <c r="D11" s="16">
        <v>0.5</v>
      </c>
      <c r="E11" s="16" t="s">
        <v>69</v>
      </c>
      <c r="F11" s="16">
        <f>B11*D11</f>
        <v>1.1499999999999999</v>
      </c>
      <c r="G11" s="16">
        <v>365</v>
      </c>
      <c r="H11" s="143">
        <f t="shared" si="0"/>
        <v>419.74999999999994</v>
      </c>
      <c r="I11" s="139"/>
      <c r="J11" s="26"/>
      <c r="K11" s="26"/>
      <c r="L11" s="26"/>
    </row>
    <row r="12" spans="1:12" ht="15.6">
      <c r="A12" s="18" t="s">
        <v>52</v>
      </c>
      <c r="B12" s="16">
        <v>0.1</v>
      </c>
      <c r="C12" s="16" t="s">
        <v>71</v>
      </c>
      <c r="D12" s="16">
        <v>4</v>
      </c>
      <c r="E12" s="16" t="s">
        <v>69</v>
      </c>
      <c r="F12" s="16">
        <f>B12*D12</f>
        <v>0.4</v>
      </c>
      <c r="G12" s="16">
        <v>365</v>
      </c>
      <c r="H12" s="143">
        <f t="shared" si="0"/>
        <v>146</v>
      </c>
      <c r="I12" s="139"/>
      <c r="J12" s="26"/>
      <c r="K12" s="26"/>
      <c r="L12" s="26"/>
    </row>
    <row r="13" spans="1:12" ht="16.2" thickBot="1">
      <c r="A13" s="19" t="s">
        <v>55</v>
      </c>
      <c r="B13" s="27">
        <v>1</v>
      </c>
      <c r="C13" s="20" t="s">
        <v>71</v>
      </c>
      <c r="D13" s="27">
        <v>0.1</v>
      </c>
      <c r="E13" s="27" t="s">
        <v>69</v>
      </c>
      <c r="F13" s="27">
        <f>B13*D13</f>
        <v>0.1</v>
      </c>
      <c r="G13" s="20">
        <v>365</v>
      </c>
      <c r="H13" s="144">
        <f t="shared" si="0"/>
        <v>36.5</v>
      </c>
      <c r="I13" s="139"/>
      <c r="J13" s="26"/>
      <c r="K13" s="26"/>
      <c r="L13" s="26"/>
    </row>
    <row r="14" spans="1:12" ht="16.2" thickBot="1">
      <c r="A14" s="26"/>
      <c r="B14" s="26"/>
      <c r="C14" s="26"/>
      <c r="D14" s="26"/>
      <c r="E14" s="26"/>
      <c r="F14" s="26"/>
      <c r="G14" s="26" t="s">
        <v>56</v>
      </c>
      <c r="H14" s="145">
        <f>SUM(H2:H13)</f>
        <v>3884.1446031746032</v>
      </c>
      <c r="I14" s="140"/>
      <c r="J14" s="26"/>
      <c r="K14" s="26"/>
      <c r="L14" s="26"/>
    </row>
    <row r="15" spans="1:12" ht="16.2" thickBot="1">
      <c r="A15" s="148" t="s">
        <v>67</v>
      </c>
      <c r="B15" s="149">
        <v>0.22</v>
      </c>
      <c r="C15" s="150" t="s">
        <v>61</v>
      </c>
      <c r="D15" s="26"/>
      <c r="E15" s="26"/>
      <c r="F15" s="26"/>
      <c r="G15" s="26" t="s">
        <v>12</v>
      </c>
      <c r="H15" s="146">
        <f>H14*0.24</f>
        <v>932.19470476190475</v>
      </c>
      <c r="I15" s="141"/>
      <c r="J15" s="26"/>
      <c r="K15" s="26"/>
      <c r="L15" s="26"/>
    </row>
    <row r="16" spans="1:12" ht="15.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15.6">
      <c r="A17" s="25" t="s">
        <v>76</v>
      </c>
      <c r="B17" s="28" t="s">
        <v>87</v>
      </c>
      <c r="C17" s="28" t="s">
        <v>81</v>
      </c>
      <c r="D17" s="28" t="s">
        <v>82</v>
      </c>
      <c r="E17" s="28"/>
      <c r="F17" s="28" t="s">
        <v>83</v>
      </c>
      <c r="G17" s="28" t="s">
        <v>86</v>
      </c>
      <c r="H17" s="28" t="s">
        <v>85</v>
      </c>
      <c r="I17" s="28" t="s">
        <v>90</v>
      </c>
      <c r="J17" s="28" t="s">
        <v>84</v>
      </c>
      <c r="L17" s="26"/>
    </row>
    <row r="18" spans="1:12" ht="15.6">
      <c r="A18" s="29" t="s">
        <v>77</v>
      </c>
      <c r="B18" s="29">
        <v>1.5</v>
      </c>
      <c r="C18" s="29">
        <v>4</v>
      </c>
      <c r="D18" s="29">
        <f>B18/C18</f>
        <v>0.375</v>
      </c>
      <c r="E18" s="29"/>
      <c r="F18" s="29">
        <f>180*D18*14</f>
        <v>945</v>
      </c>
      <c r="G18" s="29">
        <v>1.5</v>
      </c>
      <c r="H18" s="29">
        <v>7</v>
      </c>
      <c r="I18" s="30">
        <f>B18/H18</f>
        <v>0.21428571428571427</v>
      </c>
      <c r="J18" s="23">
        <f>I18*10*60</f>
        <v>128.57142857142856</v>
      </c>
      <c r="L18" s="26"/>
    </row>
    <row r="19" spans="1:12" ht="15.6">
      <c r="A19" s="24" t="s">
        <v>78</v>
      </c>
      <c r="B19" s="29">
        <v>1.5</v>
      </c>
      <c r="C19" s="29">
        <v>4</v>
      </c>
      <c r="D19" s="29">
        <f t="shared" ref="D19:D21" si="1">B19/C19</f>
        <v>0.375</v>
      </c>
      <c r="E19" s="29"/>
      <c r="F19" s="29">
        <f t="shared" ref="F19" si="2">180*D19*14</f>
        <v>945</v>
      </c>
      <c r="G19" s="29">
        <v>1.5</v>
      </c>
      <c r="H19" s="29">
        <v>7</v>
      </c>
      <c r="I19" s="30">
        <f>B19/H19</f>
        <v>0.21428571428571427</v>
      </c>
      <c r="J19" s="23">
        <f>I19*10*60</f>
        <v>128.57142857142856</v>
      </c>
      <c r="L19" s="26"/>
    </row>
    <row r="20" spans="1:12" ht="15.6">
      <c r="A20" s="29" t="s">
        <v>80</v>
      </c>
      <c r="B20" s="29">
        <v>1.5</v>
      </c>
      <c r="C20" s="29">
        <v>4</v>
      </c>
      <c r="D20" s="29">
        <f t="shared" si="1"/>
        <v>0.375</v>
      </c>
      <c r="E20" s="29"/>
      <c r="F20" s="29">
        <f>180*D20*10</f>
        <v>675</v>
      </c>
      <c r="G20" s="29">
        <v>1.5</v>
      </c>
      <c r="H20" s="29">
        <v>7</v>
      </c>
      <c r="I20" s="30">
        <f>B20/H20</f>
        <v>0.21428571428571427</v>
      </c>
      <c r="J20" s="23">
        <f>I20*10*60</f>
        <v>128.57142857142856</v>
      </c>
      <c r="L20" s="26"/>
    </row>
    <row r="21" spans="1:12" ht="16.2" thickBot="1">
      <c r="A21" s="24" t="s">
        <v>79</v>
      </c>
      <c r="B21" s="29">
        <v>0.5</v>
      </c>
      <c r="C21" s="29">
        <v>4</v>
      </c>
      <c r="D21" s="29">
        <f t="shared" si="1"/>
        <v>0.125</v>
      </c>
      <c r="E21" s="29"/>
      <c r="F21" s="31">
        <f>180*D21*14</f>
        <v>315</v>
      </c>
      <c r="G21" s="29">
        <v>0.5</v>
      </c>
      <c r="H21" s="29">
        <v>7</v>
      </c>
      <c r="I21" s="30">
        <f>B21/H21</f>
        <v>7.1428571428571425E-2</v>
      </c>
      <c r="J21" s="32">
        <f>I21*10*60</f>
        <v>42.857142857142854</v>
      </c>
      <c r="L21" s="26"/>
    </row>
    <row r="22" spans="1:12" ht="16.2" thickBot="1">
      <c r="A22" s="26"/>
      <c r="B22" s="26"/>
      <c r="C22" s="26"/>
      <c r="D22" s="26"/>
      <c r="E22" s="26" t="s">
        <v>56</v>
      </c>
      <c r="F22" s="33">
        <f>SUM(F18:F21)</f>
        <v>2880</v>
      </c>
      <c r="G22" s="26"/>
      <c r="H22" s="26"/>
      <c r="I22" s="147" t="s">
        <v>56</v>
      </c>
      <c r="J22" s="34">
        <f>SUM(J18:J21)</f>
        <v>428.5714285714285</v>
      </c>
      <c r="L22" s="26"/>
    </row>
    <row r="23" spans="1:12" ht="15.6">
      <c r="A23" s="35" t="s">
        <v>91</v>
      </c>
      <c r="B23" s="36">
        <f>F22+J22</f>
        <v>3308.5714285714284</v>
      </c>
      <c r="C23" s="37" t="s">
        <v>71</v>
      </c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5.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15.6">
      <c r="A25" s="38" t="s">
        <v>92</v>
      </c>
      <c r="B25" s="36">
        <f>H14+B23</f>
        <v>7192.7160317460311</v>
      </c>
      <c r="C25" s="37" t="s">
        <v>71</v>
      </c>
    </row>
  </sheetData>
  <mergeCells count="2">
    <mergeCell ref="D1:E1"/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A23" sqref="A23:E24"/>
    </sheetView>
  </sheetViews>
  <sheetFormatPr defaultRowHeight="14.4"/>
  <cols>
    <col min="1" max="1" width="38.109375" customWidth="1"/>
    <col min="2" max="2" width="5.77734375" customWidth="1"/>
    <col min="3" max="3" width="7.109375" customWidth="1"/>
    <col min="4" max="4" width="6" customWidth="1"/>
  </cols>
  <sheetData>
    <row r="1" spans="1:3">
      <c r="A1" s="8" t="s">
        <v>32</v>
      </c>
    </row>
    <row r="2" spans="1:3">
      <c r="A2" t="s">
        <v>26</v>
      </c>
      <c r="B2">
        <v>3300</v>
      </c>
      <c r="C2" t="s">
        <v>0</v>
      </c>
    </row>
    <row r="3" spans="1:3">
      <c r="A3" s="1" t="s">
        <v>1</v>
      </c>
      <c r="B3">
        <v>3500</v>
      </c>
      <c r="C3" t="s">
        <v>0</v>
      </c>
    </row>
    <row r="4" spans="1:3">
      <c r="A4" s="1" t="s">
        <v>33</v>
      </c>
      <c r="B4">
        <v>6000</v>
      </c>
      <c r="C4" t="s">
        <v>12</v>
      </c>
    </row>
    <row r="5" spans="1:3">
      <c r="A5" s="1" t="s">
        <v>2</v>
      </c>
      <c r="B5">
        <v>1225</v>
      </c>
      <c r="C5" t="s">
        <v>0</v>
      </c>
    </row>
    <row r="6" spans="1:3">
      <c r="A6" s="1" t="s">
        <v>3</v>
      </c>
      <c r="B6">
        <f>B3-B5</f>
        <v>2275</v>
      </c>
      <c r="C6" t="s">
        <v>0</v>
      </c>
    </row>
    <row r="7" spans="1:3">
      <c r="A7" s="1" t="s">
        <v>4</v>
      </c>
      <c r="B7">
        <f>B2-B5</f>
        <v>2075</v>
      </c>
      <c r="C7" t="s">
        <v>0</v>
      </c>
    </row>
    <row r="8" spans="1:3">
      <c r="A8" t="s">
        <v>5</v>
      </c>
      <c r="B8">
        <f>B6-B7</f>
        <v>200</v>
      </c>
      <c r="C8" t="s">
        <v>0</v>
      </c>
    </row>
    <row r="10" spans="1:3">
      <c r="A10" s="1" t="s">
        <v>7</v>
      </c>
      <c r="B10">
        <v>0.24</v>
      </c>
      <c r="C10" t="s">
        <v>6</v>
      </c>
    </row>
    <row r="11" spans="1:3" ht="28.8">
      <c r="A11" s="2" t="s">
        <v>19</v>
      </c>
      <c r="B11">
        <v>7.9000000000000001E-2</v>
      </c>
      <c r="C11" t="s">
        <v>6</v>
      </c>
    </row>
    <row r="12" spans="1:3">
      <c r="A12" s="2" t="s">
        <v>13</v>
      </c>
      <c r="B12">
        <v>5.2999999999999999E-2</v>
      </c>
      <c r="C12" t="s">
        <v>30</v>
      </c>
    </row>
    <row r="13" spans="1:3">
      <c r="A13" s="2" t="s">
        <v>14</v>
      </c>
      <c r="B13">
        <v>5.1999999999999998E-2</v>
      </c>
      <c r="C13" t="s">
        <v>15</v>
      </c>
    </row>
    <row r="15" spans="1:3">
      <c r="A15" t="s">
        <v>10</v>
      </c>
    </row>
    <row r="16" spans="1:3">
      <c r="A16" t="s">
        <v>27</v>
      </c>
      <c r="B16">
        <f>B5*B10</f>
        <v>294</v>
      </c>
      <c r="C16" t="s">
        <v>12</v>
      </c>
    </row>
    <row r="17" spans="1:5">
      <c r="A17" t="s">
        <v>9</v>
      </c>
      <c r="B17">
        <f>B7*B10</f>
        <v>498</v>
      </c>
      <c r="C17" t="s">
        <v>12</v>
      </c>
    </row>
    <row r="18" spans="1:5" ht="9" customHeight="1"/>
    <row r="19" spans="1:5" ht="27.6" customHeight="1">
      <c r="A19" s="162" t="s">
        <v>18</v>
      </c>
      <c r="B19" s="162"/>
      <c r="C19" s="162"/>
      <c r="D19" s="162"/>
    </row>
    <row r="20" spans="1:5">
      <c r="A20" s="4" t="s">
        <v>16</v>
      </c>
      <c r="B20" s="4">
        <f>B7*B12</f>
        <v>109.97499999999999</v>
      </c>
      <c r="C20" s="4" t="s">
        <v>12</v>
      </c>
    </row>
    <row r="21" spans="1:5">
      <c r="A21" s="3" t="s">
        <v>17</v>
      </c>
      <c r="B21">
        <f>B6*B13</f>
        <v>118.3</v>
      </c>
      <c r="C21" t="s">
        <v>31</v>
      </c>
    </row>
    <row r="22" spans="1:5" ht="11.4" customHeight="1">
      <c r="A22" s="3"/>
    </row>
    <row r="23" spans="1:5">
      <c r="A23" t="s">
        <v>20</v>
      </c>
    </row>
    <row r="24" spans="1:5">
      <c r="A24" t="s">
        <v>21</v>
      </c>
      <c r="D24" s="4">
        <f>MIN(B7,B6)</f>
        <v>2075</v>
      </c>
      <c r="E24" t="s">
        <v>0</v>
      </c>
    </row>
    <row r="25" spans="1:5">
      <c r="A25" s="4" t="s">
        <v>22</v>
      </c>
      <c r="B25" s="4">
        <f>D24*B11</f>
        <v>163.92500000000001</v>
      </c>
      <c r="C25" s="4" t="s">
        <v>12</v>
      </c>
    </row>
    <row r="26" spans="1:5">
      <c r="A26" s="4" t="s">
        <v>23</v>
      </c>
      <c r="B26" s="4">
        <f>B20+B25</f>
        <v>273.89999999999998</v>
      </c>
      <c r="C26" s="4" t="s">
        <v>12</v>
      </c>
    </row>
    <row r="28" spans="1:5">
      <c r="A28" t="s">
        <v>24</v>
      </c>
    </row>
    <row r="29" spans="1:5">
      <c r="A29" s="5" t="s">
        <v>23</v>
      </c>
      <c r="B29" s="5">
        <f>B26</f>
        <v>273.89999999999998</v>
      </c>
      <c r="C29" t="s">
        <v>12</v>
      </c>
    </row>
    <row r="30" spans="1:5">
      <c r="A30" s="5" t="s">
        <v>8</v>
      </c>
      <c r="B30" s="5">
        <f>B16</f>
        <v>294</v>
      </c>
      <c r="C30" t="s">
        <v>12</v>
      </c>
    </row>
    <row r="31" spans="1:5" ht="15" thickBot="1">
      <c r="A31" s="5" t="s">
        <v>25</v>
      </c>
      <c r="B31" s="6">
        <f>B21-B20</f>
        <v>8.3250000000000028</v>
      </c>
      <c r="C31" t="s">
        <v>12</v>
      </c>
    </row>
    <row r="32" spans="1:5" ht="15" thickBot="1">
      <c r="B32" s="7">
        <f>SUM(B29:B31)</f>
        <v>576.22500000000002</v>
      </c>
      <c r="C32" t="s">
        <v>12</v>
      </c>
      <c r="D32" t="s">
        <v>28</v>
      </c>
    </row>
    <row r="33" spans="1:4">
      <c r="D33" t="s">
        <v>29</v>
      </c>
    </row>
    <row r="34" spans="1:4">
      <c r="A34" t="s">
        <v>34</v>
      </c>
      <c r="B34">
        <f>B4*0.5</f>
        <v>3000</v>
      </c>
      <c r="C34" t="s">
        <v>12</v>
      </c>
    </row>
    <row r="35" spans="1:4">
      <c r="A35" t="s">
        <v>35</v>
      </c>
      <c r="B35">
        <f>B34/B32</f>
        <v>5.2062996225432769</v>
      </c>
      <c r="C35" t="s">
        <v>36</v>
      </c>
    </row>
    <row r="37" spans="1:4">
      <c r="A37" t="s">
        <v>11</v>
      </c>
    </row>
    <row r="38" spans="1:4">
      <c r="A38" s="5" t="s">
        <v>9</v>
      </c>
      <c r="B38" s="5">
        <f>B2*B10</f>
        <v>792</v>
      </c>
    </row>
    <row r="40" spans="1:4">
      <c r="C40" t="s">
        <v>12</v>
      </c>
    </row>
  </sheetData>
  <mergeCells count="1">
    <mergeCell ref="A19:D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C34" sqref="C34"/>
    </sheetView>
  </sheetViews>
  <sheetFormatPr defaultRowHeight="14.4"/>
  <cols>
    <col min="1" max="1" width="37.21875" customWidth="1"/>
    <col min="2" max="2" width="5.77734375" customWidth="1"/>
    <col min="3" max="3" width="7.109375" customWidth="1"/>
    <col min="4" max="4" width="6" customWidth="1"/>
    <col min="5" max="5" width="11.5546875" customWidth="1"/>
    <col min="6" max="6" width="30.44140625" customWidth="1"/>
    <col min="8" max="8" width="20.44140625" customWidth="1"/>
    <col min="9" max="9" width="1.5546875" customWidth="1"/>
  </cols>
  <sheetData>
    <row r="1" spans="1:9">
      <c r="A1" s="8" t="s">
        <v>32</v>
      </c>
    </row>
    <row r="2" spans="1:9">
      <c r="A2" t="s">
        <v>26</v>
      </c>
      <c r="B2">
        <v>3300</v>
      </c>
      <c r="C2" t="s">
        <v>0</v>
      </c>
      <c r="F2" s="11" t="s">
        <v>27</v>
      </c>
      <c r="G2" s="11">
        <f>B5*B9</f>
        <v>385</v>
      </c>
      <c r="H2" s="11" t="s">
        <v>12</v>
      </c>
    </row>
    <row r="3" spans="1:9">
      <c r="A3" s="1" t="s">
        <v>1</v>
      </c>
      <c r="B3">
        <v>3500</v>
      </c>
      <c r="C3" t="s">
        <v>0</v>
      </c>
      <c r="F3" t="s">
        <v>9</v>
      </c>
      <c r="G3">
        <f>B7*B9</f>
        <v>341</v>
      </c>
      <c r="H3" t="s">
        <v>12</v>
      </c>
    </row>
    <row r="4" spans="1:9">
      <c r="A4" s="1" t="s">
        <v>33</v>
      </c>
      <c r="B4">
        <v>6000</v>
      </c>
      <c r="C4" t="s">
        <v>12</v>
      </c>
      <c r="F4" s="162" t="s">
        <v>46</v>
      </c>
      <c r="G4" s="162"/>
      <c r="H4" s="162"/>
      <c r="I4" s="162"/>
    </row>
    <row r="5" spans="1:9">
      <c r="A5" s="1" t="s">
        <v>2</v>
      </c>
      <c r="B5">
        <f>B3/2</f>
        <v>1750</v>
      </c>
      <c r="C5" t="s">
        <v>0</v>
      </c>
      <c r="F5" s="4" t="s">
        <v>16</v>
      </c>
      <c r="G5" s="9">
        <f>B7*B11</f>
        <v>77.5</v>
      </c>
      <c r="H5" s="4" t="s">
        <v>12</v>
      </c>
    </row>
    <row r="6" spans="1:9">
      <c r="A6" s="1" t="s">
        <v>93</v>
      </c>
      <c r="B6">
        <f>B3-B5</f>
        <v>1750</v>
      </c>
      <c r="C6" t="s">
        <v>0</v>
      </c>
      <c r="F6" s="3" t="s">
        <v>17</v>
      </c>
      <c r="G6" s="10">
        <f>B6*B12</f>
        <v>87.5</v>
      </c>
      <c r="H6" t="s">
        <v>63</v>
      </c>
    </row>
    <row r="7" spans="1:9">
      <c r="A7" s="1" t="s">
        <v>4</v>
      </c>
      <c r="B7">
        <f>B2-B5</f>
        <v>1550</v>
      </c>
      <c r="C7" t="s">
        <v>0</v>
      </c>
      <c r="F7" t="s">
        <v>45</v>
      </c>
    </row>
    <row r="8" spans="1:9">
      <c r="A8" t="s">
        <v>64</v>
      </c>
      <c r="B8">
        <f>B6-B7</f>
        <v>200</v>
      </c>
      <c r="C8" t="s">
        <v>0</v>
      </c>
      <c r="F8" s="4" t="s">
        <v>40</v>
      </c>
      <c r="G8" s="9">
        <f>MIN(B7,B6)</f>
        <v>1550</v>
      </c>
      <c r="H8" s="4" t="s">
        <v>0</v>
      </c>
    </row>
    <row r="9" spans="1:9">
      <c r="A9" s="1" t="s">
        <v>43</v>
      </c>
      <c r="B9">
        <v>0.22</v>
      </c>
      <c r="C9" t="s">
        <v>6</v>
      </c>
      <c r="F9" s="4" t="s">
        <v>22</v>
      </c>
      <c r="G9" s="9">
        <f>G8*B10</f>
        <v>122.45</v>
      </c>
      <c r="H9" s="4" t="s">
        <v>41</v>
      </c>
    </row>
    <row r="10" spans="1:9" ht="28.8">
      <c r="A10" s="2" t="s">
        <v>42</v>
      </c>
      <c r="B10">
        <v>7.9000000000000001E-2</v>
      </c>
      <c r="C10" t="s">
        <v>6</v>
      </c>
      <c r="F10" s="4" t="s">
        <v>39</v>
      </c>
      <c r="G10" s="9">
        <f>G5+G9</f>
        <v>199.95</v>
      </c>
      <c r="H10" s="4" t="s">
        <v>12</v>
      </c>
    </row>
    <row r="11" spans="1:9">
      <c r="A11" s="2" t="s">
        <v>13</v>
      </c>
      <c r="B11">
        <v>0.05</v>
      </c>
      <c r="C11" t="s">
        <v>30</v>
      </c>
    </row>
    <row r="12" spans="1:9" ht="14.4" customHeight="1">
      <c r="A12" s="2" t="s">
        <v>44</v>
      </c>
      <c r="B12">
        <v>0.05</v>
      </c>
      <c r="C12" t="s">
        <v>15</v>
      </c>
      <c r="F12" s="12" t="s">
        <v>24</v>
      </c>
      <c r="G12" s="12"/>
      <c r="H12" s="12"/>
    </row>
    <row r="13" spans="1:9">
      <c r="F13" s="12" t="s">
        <v>37</v>
      </c>
      <c r="G13" s="13">
        <f>G10</f>
        <v>199.95</v>
      </c>
      <c r="H13" s="12" t="s">
        <v>12</v>
      </c>
    </row>
    <row r="14" spans="1:9">
      <c r="F14" s="12" t="s">
        <v>8</v>
      </c>
      <c r="G14" s="12">
        <f>G2</f>
        <v>385</v>
      </c>
      <c r="H14" s="12" t="s">
        <v>12</v>
      </c>
    </row>
    <row r="15" spans="1:9">
      <c r="A15" s="4" t="s">
        <v>34</v>
      </c>
      <c r="B15" s="4">
        <f>B4*0.5</f>
        <v>3000</v>
      </c>
      <c r="C15" s="4" t="s">
        <v>12</v>
      </c>
      <c r="F15" s="12" t="s">
        <v>38</v>
      </c>
      <c r="G15" s="13">
        <f>G6-G5</f>
        <v>10</v>
      </c>
      <c r="H15" s="12" t="s">
        <v>65</v>
      </c>
    </row>
    <row r="16" spans="1:9">
      <c r="A16" s="4" t="s">
        <v>35</v>
      </c>
      <c r="B16" s="4">
        <f>B15/G16</f>
        <v>5.0424405412219508</v>
      </c>
      <c r="C16" s="4" t="s">
        <v>36</v>
      </c>
      <c r="F16" s="15" t="s">
        <v>47</v>
      </c>
      <c r="G16" s="14">
        <f>SUM(G13:G15)</f>
        <v>594.95000000000005</v>
      </c>
      <c r="H16" s="12" t="s">
        <v>12</v>
      </c>
    </row>
    <row r="18" spans="1:9" ht="15" thickBot="1"/>
    <row r="19" spans="1:9" ht="15" thickBot="1">
      <c r="A19" s="39" t="s">
        <v>100</v>
      </c>
      <c r="B19" s="40"/>
      <c r="C19" s="40"/>
      <c r="D19" s="40"/>
      <c r="E19" s="40"/>
      <c r="F19" s="64"/>
      <c r="G19" s="40"/>
      <c r="H19" s="40"/>
      <c r="I19" s="41"/>
    </row>
    <row r="20" spans="1:9">
      <c r="A20" s="60" t="s">
        <v>26</v>
      </c>
      <c r="B20" s="61">
        <v>4000</v>
      </c>
      <c r="C20" s="61" t="s">
        <v>0</v>
      </c>
      <c r="D20" s="61"/>
      <c r="E20" s="61"/>
      <c r="F20" s="65" t="s">
        <v>27</v>
      </c>
      <c r="G20" s="54">
        <f>B23*B27</f>
        <v>192.5</v>
      </c>
      <c r="H20" s="44" t="s">
        <v>94</v>
      </c>
      <c r="I20" s="43"/>
    </row>
    <row r="21" spans="1:9">
      <c r="A21" s="58" t="s">
        <v>1</v>
      </c>
      <c r="B21" s="57">
        <v>3500</v>
      </c>
      <c r="C21" s="57" t="s">
        <v>0</v>
      </c>
      <c r="D21" s="57"/>
      <c r="E21" s="57"/>
      <c r="F21" s="42" t="s">
        <v>9</v>
      </c>
      <c r="G21" s="12">
        <f>B25*B27</f>
        <v>687.5</v>
      </c>
      <c r="H21" s="12" t="s">
        <v>95</v>
      </c>
      <c r="I21" s="43"/>
    </row>
    <row r="22" spans="1:9">
      <c r="A22" s="58" t="s">
        <v>33</v>
      </c>
      <c r="B22" s="57">
        <v>6000</v>
      </c>
      <c r="C22" s="57" t="s">
        <v>12</v>
      </c>
      <c r="D22" s="57"/>
      <c r="E22" s="57"/>
      <c r="F22" s="163" t="s">
        <v>46</v>
      </c>
      <c r="G22" s="164"/>
      <c r="H22" s="164"/>
      <c r="I22" s="165"/>
    </row>
    <row r="23" spans="1:9">
      <c r="A23" s="58" t="s">
        <v>101</v>
      </c>
      <c r="B23" s="57">
        <f>B21*0.25</f>
        <v>875</v>
      </c>
      <c r="C23" s="57" t="s">
        <v>0</v>
      </c>
      <c r="D23" s="57"/>
      <c r="E23" s="57"/>
      <c r="F23" s="65" t="s">
        <v>16</v>
      </c>
      <c r="G23" s="45">
        <f>B25*B29</f>
        <v>156.25</v>
      </c>
      <c r="H23" s="44" t="s">
        <v>96</v>
      </c>
      <c r="I23" s="43"/>
    </row>
    <row r="24" spans="1:9">
      <c r="A24" s="58" t="s">
        <v>93</v>
      </c>
      <c r="B24" s="57">
        <f>B21-B23</f>
        <v>2625</v>
      </c>
      <c r="C24" s="57" t="s">
        <v>0</v>
      </c>
      <c r="D24" s="57"/>
      <c r="E24" s="57"/>
      <c r="F24" s="66" t="s">
        <v>17</v>
      </c>
      <c r="G24" s="55">
        <f>B24*B30</f>
        <v>131.25</v>
      </c>
      <c r="H24" s="12" t="s">
        <v>97</v>
      </c>
      <c r="I24" s="43"/>
    </row>
    <row r="25" spans="1:9">
      <c r="A25" s="58" t="s">
        <v>4</v>
      </c>
      <c r="B25" s="57">
        <f>B20-B23</f>
        <v>3125</v>
      </c>
      <c r="C25" s="57" t="s">
        <v>0</v>
      </c>
      <c r="D25" s="57"/>
      <c r="E25" s="57"/>
      <c r="F25" s="42" t="s">
        <v>45</v>
      </c>
      <c r="G25" s="12"/>
      <c r="H25" s="12"/>
      <c r="I25" s="43"/>
    </row>
    <row r="26" spans="1:9">
      <c r="A26" s="56" t="s">
        <v>64</v>
      </c>
      <c r="B26" s="57">
        <f>B24-B25</f>
        <v>-500</v>
      </c>
      <c r="C26" s="57" t="s">
        <v>0</v>
      </c>
      <c r="D26" s="57"/>
      <c r="E26" s="57"/>
      <c r="F26" s="65" t="s">
        <v>40</v>
      </c>
      <c r="G26" s="55">
        <f>MIN(B25,B24)</f>
        <v>2625</v>
      </c>
      <c r="H26" s="44" t="s">
        <v>0</v>
      </c>
      <c r="I26" s="43"/>
    </row>
    <row r="27" spans="1:9">
      <c r="A27" s="58" t="s">
        <v>43</v>
      </c>
      <c r="B27" s="57">
        <v>0.22</v>
      </c>
      <c r="C27" s="57" t="s">
        <v>6</v>
      </c>
      <c r="D27" s="57"/>
      <c r="E27" s="57"/>
      <c r="F27" s="65" t="s">
        <v>22</v>
      </c>
      <c r="G27" s="45">
        <f>G26*B28</f>
        <v>207.375</v>
      </c>
      <c r="H27" s="44" t="s">
        <v>104</v>
      </c>
      <c r="I27" s="43"/>
    </row>
    <row r="28" spans="1:9" ht="28.8">
      <c r="A28" s="59" t="s">
        <v>42</v>
      </c>
      <c r="B28" s="57">
        <v>7.9000000000000001E-2</v>
      </c>
      <c r="C28" s="57" t="s">
        <v>6</v>
      </c>
      <c r="D28" s="57"/>
      <c r="E28" s="57"/>
      <c r="F28" s="67" t="s">
        <v>66</v>
      </c>
      <c r="G28" s="45">
        <f>MIN(G24,G23)+G27</f>
        <v>338.625</v>
      </c>
      <c r="H28" s="44" t="s">
        <v>98</v>
      </c>
      <c r="I28" s="43"/>
    </row>
    <row r="29" spans="1:9">
      <c r="A29" s="59" t="s">
        <v>13</v>
      </c>
      <c r="B29" s="57">
        <v>0.05</v>
      </c>
      <c r="C29" s="57" t="s">
        <v>30</v>
      </c>
      <c r="D29" s="57"/>
      <c r="E29" s="57"/>
      <c r="F29" s="42"/>
      <c r="G29" s="12"/>
      <c r="H29" s="12"/>
      <c r="I29" s="43"/>
    </row>
    <row r="30" spans="1:9" ht="13.8" customHeight="1" thickBot="1">
      <c r="A30" s="59" t="s">
        <v>44</v>
      </c>
      <c r="B30" s="57">
        <v>0.05</v>
      </c>
      <c r="C30" s="57" t="s">
        <v>15</v>
      </c>
      <c r="D30" s="57"/>
      <c r="E30" s="57"/>
      <c r="F30" s="42" t="s">
        <v>24</v>
      </c>
      <c r="G30" s="12"/>
      <c r="H30" s="12"/>
      <c r="I30" s="43"/>
    </row>
    <row r="31" spans="1:9">
      <c r="A31" s="64"/>
      <c r="B31" s="40"/>
      <c r="C31" s="40"/>
      <c r="D31" s="40"/>
      <c r="E31" s="41"/>
      <c r="F31" s="12" t="s">
        <v>37</v>
      </c>
      <c r="G31" s="13">
        <f>G28</f>
        <v>338.625</v>
      </c>
      <c r="H31" s="12" t="s">
        <v>12</v>
      </c>
      <c r="I31" s="43"/>
    </row>
    <row r="32" spans="1:9">
      <c r="A32" s="48" t="s">
        <v>34</v>
      </c>
      <c r="B32" s="69">
        <v>3000</v>
      </c>
      <c r="C32" s="69" t="s">
        <v>12</v>
      </c>
      <c r="D32" s="12"/>
      <c r="E32" s="43"/>
      <c r="F32" s="12" t="s">
        <v>8</v>
      </c>
      <c r="G32" s="12">
        <f>G20</f>
        <v>192.5</v>
      </c>
      <c r="H32" s="12" t="s">
        <v>12</v>
      </c>
      <c r="I32" s="43"/>
    </row>
    <row r="33" spans="1:9">
      <c r="A33" s="48" t="s">
        <v>35</v>
      </c>
      <c r="B33" s="70">
        <f>$B$32/$G$34</f>
        <v>5.64838785596611</v>
      </c>
      <c r="C33" s="69" t="s">
        <v>36</v>
      </c>
      <c r="D33" s="12"/>
      <c r="E33" s="43"/>
      <c r="F33" s="12" t="s">
        <v>106</v>
      </c>
      <c r="G33" s="13">
        <f>IF(G24-G23&gt;0,G24-G23, 0)</f>
        <v>0</v>
      </c>
      <c r="H33" s="12" t="s">
        <v>65</v>
      </c>
      <c r="I33" s="43"/>
    </row>
    <row r="34" spans="1:9" ht="15" thickBot="1">
      <c r="A34" s="49" t="s">
        <v>107</v>
      </c>
      <c r="B34" s="68">
        <f>(25-$B$33)*$G$34</f>
        <v>10278.125</v>
      </c>
      <c r="C34" s="71" t="s">
        <v>12</v>
      </c>
      <c r="D34" s="50"/>
      <c r="E34" s="53"/>
      <c r="F34" s="51" t="s">
        <v>47</v>
      </c>
      <c r="G34" s="52">
        <f>SUM(G31:G33)</f>
        <v>531.125</v>
      </c>
      <c r="H34" s="50" t="s">
        <v>12</v>
      </c>
      <c r="I34" s="53"/>
    </row>
    <row r="35" spans="1:9" ht="15" thickBot="1"/>
    <row r="36" spans="1:9" ht="15" thickBot="1">
      <c r="A36" s="39" t="s">
        <v>99</v>
      </c>
      <c r="B36" s="40"/>
      <c r="C36" s="40"/>
      <c r="D36" s="40"/>
      <c r="E36" s="41"/>
      <c r="F36" s="40"/>
      <c r="G36" s="40"/>
      <c r="H36" s="40"/>
      <c r="I36" s="41"/>
    </row>
    <row r="37" spans="1:9">
      <c r="A37" s="60" t="s">
        <v>26</v>
      </c>
      <c r="B37" s="61">
        <v>4000</v>
      </c>
      <c r="C37" s="61" t="s">
        <v>0</v>
      </c>
      <c r="D37" s="61"/>
      <c r="E37" s="62"/>
      <c r="F37" s="44" t="s">
        <v>27</v>
      </c>
      <c r="G37" s="54">
        <f>B40*B44</f>
        <v>539</v>
      </c>
      <c r="H37" s="44" t="s">
        <v>94</v>
      </c>
      <c r="I37" s="43"/>
    </row>
    <row r="38" spans="1:9">
      <c r="A38" s="58" t="s">
        <v>1</v>
      </c>
      <c r="B38" s="57">
        <v>3500</v>
      </c>
      <c r="C38" s="57" t="s">
        <v>0</v>
      </c>
      <c r="D38" s="57"/>
      <c r="E38" s="63"/>
      <c r="F38" s="12" t="s">
        <v>9</v>
      </c>
      <c r="G38" s="12">
        <f>B42*B44</f>
        <v>341</v>
      </c>
      <c r="H38" s="12" t="s">
        <v>95</v>
      </c>
      <c r="I38" s="43"/>
    </row>
    <row r="39" spans="1:9">
      <c r="A39" s="58" t="s">
        <v>33</v>
      </c>
      <c r="B39" s="57">
        <v>6000</v>
      </c>
      <c r="C39" s="57" t="s">
        <v>12</v>
      </c>
      <c r="D39" s="57"/>
      <c r="E39" s="63"/>
      <c r="F39" s="164" t="s">
        <v>46</v>
      </c>
      <c r="G39" s="164"/>
      <c r="H39" s="164"/>
      <c r="I39" s="165"/>
    </row>
    <row r="40" spans="1:9">
      <c r="A40" s="58" t="s">
        <v>102</v>
      </c>
      <c r="B40" s="57">
        <f>B38*0.7</f>
        <v>2450</v>
      </c>
      <c r="C40" s="57" t="s">
        <v>0</v>
      </c>
      <c r="D40" s="57"/>
      <c r="E40" s="63"/>
      <c r="F40" s="44" t="s">
        <v>16</v>
      </c>
      <c r="G40" s="45">
        <f>B42*B46</f>
        <v>77.5</v>
      </c>
      <c r="H40" s="44" t="s">
        <v>96</v>
      </c>
      <c r="I40" s="43"/>
    </row>
    <row r="41" spans="1:9">
      <c r="A41" s="58" t="s">
        <v>93</v>
      </c>
      <c r="B41" s="57">
        <f>B38-B40</f>
        <v>1050</v>
      </c>
      <c r="C41" s="57" t="s">
        <v>0</v>
      </c>
      <c r="D41" s="57"/>
      <c r="E41" s="63"/>
      <c r="F41" s="46" t="s">
        <v>17</v>
      </c>
      <c r="G41" s="55">
        <f>B41*B47</f>
        <v>52.5</v>
      </c>
      <c r="H41" s="12" t="s">
        <v>97</v>
      </c>
      <c r="I41" s="43"/>
    </row>
    <row r="42" spans="1:9">
      <c r="A42" s="58" t="s">
        <v>4</v>
      </c>
      <c r="B42" s="57">
        <f>B37-B40</f>
        <v>1550</v>
      </c>
      <c r="C42" s="57" t="s">
        <v>0</v>
      </c>
      <c r="D42" s="57"/>
      <c r="E42" s="63"/>
      <c r="F42" s="12" t="s">
        <v>45</v>
      </c>
      <c r="G42" s="12"/>
      <c r="H42" s="12"/>
      <c r="I42" s="43"/>
    </row>
    <row r="43" spans="1:9">
      <c r="A43" s="56" t="s">
        <v>64</v>
      </c>
      <c r="B43" s="57">
        <f>B41-B42</f>
        <v>-500</v>
      </c>
      <c r="C43" s="57" t="s">
        <v>0</v>
      </c>
      <c r="D43" s="57"/>
      <c r="E43" s="63"/>
      <c r="F43" s="44" t="s">
        <v>40</v>
      </c>
      <c r="G43" s="55">
        <f>MIN(B42,B41)</f>
        <v>1050</v>
      </c>
      <c r="H43" s="44" t="s">
        <v>0</v>
      </c>
      <c r="I43" s="43"/>
    </row>
    <row r="44" spans="1:9">
      <c r="A44" s="58" t="s">
        <v>43</v>
      </c>
      <c r="B44" s="57">
        <v>0.22</v>
      </c>
      <c r="C44" s="57" t="s">
        <v>6</v>
      </c>
      <c r="D44" s="57"/>
      <c r="E44" s="63"/>
      <c r="F44" s="44" t="s">
        <v>22</v>
      </c>
      <c r="G44" s="45">
        <f>G43*B45</f>
        <v>82.95</v>
      </c>
      <c r="H44" s="44" t="s">
        <v>103</v>
      </c>
      <c r="I44" s="43"/>
    </row>
    <row r="45" spans="1:9" ht="28.8">
      <c r="A45" s="59" t="s">
        <v>42</v>
      </c>
      <c r="B45" s="57">
        <v>7.9000000000000001E-2</v>
      </c>
      <c r="C45" s="57" t="s">
        <v>6</v>
      </c>
      <c r="D45" s="57"/>
      <c r="E45" s="63"/>
      <c r="F45" s="47" t="s">
        <v>66</v>
      </c>
      <c r="G45" s="45">
        <f>MIN(G41,G40)+G44</f>
        <v>135.44999999999999</v>
      </c>
      <c r="H45" s="44" t="s">
        <v>105</v>
      </c>
      <c r="I45" s="43"/>
    </row>
    <row r="46" spans="1:9">
      <c r="A46" s="59" t="s">
        <v>13</v>
      </c>
      <c r="B46" s="57">
        <v>0.05</v>
      </c>
      <c r="C46" s="57" t="s">
        <v>30</v>
      </c>
      <c r="D46" s="57"/>
      <c r="E46" s="63"/>
      <c r="F46" s="12"/>
      <c r="G46" s="12"/>
      <c r="H46" s="12"/>
      <c r="I46" s="43"/>
    </row>
    <row r="47" spans="1:9" ht="15.6" customHeight="1" thickBot="1">
      <c r="A47" s="59" t="s">
        <v>44</v>
      </c>
      <c r="B47" s="57">
        <v>0.05</v>
      </c>
      <c r="C47" s="57" t="s">
        <v>15</v>
      </c>
      <c r="D47" s="57"/>
      <c r="E47" s="63"/>
      <c r="F47" s="12" t="s">
        <v>24</v>
      </c>
      <c r="G47" s="12"/>
      <c r="H47" s="12"/>
      <c r="I47" s="43"/>
    </row>
    <row r="48" spans="1:9">
      <c r="A48" s="64"/>
      <c r="B48" s="40"/>
      <c r="C48" s="40"/>
      <c r="D48" s="40"/>
      <c r="E48" s="41"/>
      <c r="F48" s="12" t="s">
        <v>37</v>
      </c>
      <c r="G48" s="13">
        <f>G45</f>
        <v>135.44999999999999</v>
      </c>
      <c r="H48" s="12" t="s">
        <v>12</v>
      </c>
      <c r="I48" s="43"/>
    </row>
    <row r="49" spans="1:9">
      <c r="A49" s="48" t="s">
        <v>34</v>
      </c>
      <c r="B49" s="69">
        <v>5000</v>
      </c>
      <c r="C49" s="69" t="s">
        <v>12</v>
      </c>
      <c r="D49" s="12"/>
      <c r="E49" s="43"/>
      <c r="F49" s="12" t="s">
        <v>8</v>
      </c>
      <c r="G49" s="12">
        <f>G37</f>
        <v>539</v>
      </c>
      <c r="H49" s="12" t="s">
        <v>12</v>
      </c>
      <c r="I49" s="43"/>
    </row>
    <row r="50" spans="1:9">
      <c r="A50" s="48" t="s">
        <v>35</v>
      </c>
      <c r="B50" s="70">
        <f>$B$49/$G$51</f>
        <v>7.4134479946623166</v>
      </c>
      <c r="C50" s="69" t="s">
        <v>36</v>
      </c>
      <c r="D50" s="12"/>
      <c r="E50" s="43"/>
      <c r="F50" s="12" t="s">
        <v>106</v>
      </c>
      <c r="G50" s="13">
        <f>IF(G41-G40&gt;0,G41-G40, 0)</f>
        <v>0</v>
      </c>
      <c r="H50" s="12" t="s">
        <v>65</v>
      </c>
      <c r="I50" s="43"/>
    </row>
    <row r="51" spans="1:9" ht="15" thickBot="1">
      <c r="A51" s="49" t="s">
        <v>107</v>
      </c>
      <c r="B51" s="68">
        <f>(25-$B$50)*$G$51</f>
        <v>11861.250000000002</v>
      </c>
      <c r="C51" s="71" t="s">
        <v>12</v>
      </c>
      <c r="D51" s="50"/>
      <c r="E51" s="53"/>
      <c r="F51" s="51" t="s">
        <v>47</v>
      </c>
      <c r="G51" s="52">
        <f>SUM(G48:G50)</f>
        <v>674.45</v>
      </c>
      <c r="H51" s="50" t="s">
        <v>12</v>
      </c>
      <c r="I51" s="53"/>
    </row>
  </sheetData>
  <mergeCells count="3">
    <mergeCell ref="F4:I4"/>
    <mergeCell ref="F22:I22"/>
    <mergeCell ref="F39:I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costi fotovoltaico</vt:lpstr>
      <vt:lpstr>consumo elettrico</vt:lpstr>
      <vt:lpstr>Foglio1 (2)</vt:lpstr>
      <vt:lpstr>Foglio3</vt:lpstr>
      <vt:lpstr>costi fotovoltaico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2020-05-18T07:21:31Z</dcterms:created>
  <dcterms:modified xsi:type="dcterms:W3CDTF">2020-05-21T08:15:58Z</dcterms:modified>
</cp:coreProperties>
</file>